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DieseArbeitsmappe" defaultThemeVersion="124226"/>
  <mc:AlternateContent xmlns:mc="http://schemas.openxmlformats.org/markup-compatibility/2006">
    <mc:Choice Requires="x15">
      <x15ac:absPath xmlns:x15ac="http://schemas.microsoft.com/office/spreadsheetml/2010/11/ac" url="Y:\RSC\FoService\Forschungsförderung\EU FAQs, templates and useful docs\"/>
    </mc:Choice>
  </mc:AlternateContent>
  <bookViews>
    <workbookView xWindow="0" yWindow="0" windowWidth="10245" windowHeight="7590"/>
  </bookViews>
  <sheets>
    <sheet name="Uni Wien interne Kalkulation" sheetId="1" r:id="rId1"/>
    <sheet name="Uni Wien OvH Verteilung" sheetId="6" r:id="rId2"/>
    <sheet name="nebenrechnungen" sheetId="2" state="hidden" r:id="rId3"/>
    <sheet name="nr2" sheetId="4" state="hidden" r:id="rId4"/>
  </sheets>
  <calcPr calcId="162913"/>
</workbook>
</file>

<file path=xl/calcChain.xml><?xml version="1.0" encoding="utf-8"?>
<calcChain xmlns="http://schemas.openxmlformats.org/spreadsheetml/2006/main">
  <c r="I15" i="1" l="1"/>
  <c r="I35" i="1"/>
  <c r="I32" i="1"/>
  <c r="I31" i="1"/>
  <c r="I33" i="1"/>
  <c r="I29" i="1"/>
  <c r="C53" i="1" l="1"/>
  <c r="L35" i="1" l="1"/>
  <c r="D48" i="1"/>
  <c r="A41" i="1"/>
  <c r="C7" i="1"/>
  <c r="C3" i="1"/>
  <c r="C4" i="1"/>
  <c r="C5" i="1"/>
  <c r="C6" i="1"/>
  <c r="C8" i="1"/>
  <c r="C9" i="1"/>
  <c r="C10" i="1"/>
  <c r="D49" i="1"/>
  <c r="D50" i="1"/>
  <c r="D51" i="1"/>
  <c r="D52" i="1"/>
  <c r="Q9" i="1"/>
  <c r="G9" i="1"/>
  <c r="F4" i="1"/>
  <c r="F5" i="1"/>
  <c r="F6" i="1"/>
  <c r="F7" i="1"/>
  <c r="F8" i="1"/>
  <c r="F9" i="1"/>
  <c r="E9" i="1"/>
  <c r="Q3" i="1"/>
  <c r="E3" i="1"/>
  <c r="E4" i="1"/>
  <c r="Q10" i="1"/>
  <c r="A5" i="4"/>
  <c r="E7" i="4" s="1"/>
  <c r="A4" i="4"/>
  <c r="C8" i="4" s="1"/>
  <c r="A6" i="4"/>
  <c r="B10" i="4"/>
  <c r="B11" i="4"/>
  <c r="C10" i="4"/>
  <c r="C11" i="4"/>
  <c r="O4" i="6"/>
  <c r="O5" i="6"/>
  <c r="Q8" i="1"/>
  <c r="Q5" i="1"/>
  <c r="Q7" i="1"/>
  <c r="A10" i="4"/>
  <c r="A5" i="2"/>
  <c r="E2" i="2" s="1"/>
  <c r="E7" i="2" s="1"/>
  <c r="A4" i="2"/>
  <c r="C7" i="2" s="1"/>
  <c r="A6" i="2"/>
  <c r="B10" i="2"/>
  <c r="B9" i="2"/>
  <c r="C10" i="2"/>
  <c r="C9" i="2"/>
  <c r="Q4" i="1"/>
  <c r="Q6" i="1"/>
  <c r="L29" i="1"/>
  <c r="L31" i="1"/>
  <c r="L32" i="1"/>
  <c r="L33" i="1"/>
  <c r="F10" i="1"/>
  <c r="F3" i="1"/>
  <c r="G4" i="1"/>
  <c r="G10" i="1"/>
  <c r="G8" i="1"/>
  <c r="G7" i="1"/>
  <c r="G6" i="1"/>
  <c r="G5" i="1"/>
  <c r="G3" i="1"/>
  <c r="E10" i="1"/>
  <c r="B53" i="1"/>
  <c r="A25" i="1"/>
  <c r="K25" i="1" s="1"/>
  <c r="A23" i="1"/>
  <c r="K23" i="1" s="1"/>
  <c r="A9" i="2"/>
  <c r="A20" i="1"/>
  <c r="K20" i="1" s="1"/>
  <c r="A21" i="1"/>
  <c r="K21" i="1" s="1"/>
  <c r="A22" i="1"/>
  <c r="K22" i="1" s="1"/>
  <c r="E5" i="1"/>
  <c r="E6" i="1"/>
  <c r="E7" i="1"/>
  <c r="E8" i="1"/>
  <c r="A19" i="1"/>
  <c r="K19" i="1" s="1"/>
  <c r="B19" i="1" l="1"/>
  <c r="H19" i="1"/>
  <c r="R19" i="1" s="1"/>
  <c r="H21" i="1"/>
  <c r="R21" i="1" s="1"/>
  <c r="B21" i="1"/>
  <c r="H20" i="1"/>
  <c r="R20" i="1" s="1"/>
  <c r="B20" i="1"/>
  <c r="L20" i="1" s="1"/>
  <c r="H18" i="1"/>
  <c r="R18" i="1" s="1"/>
  <c r="B18" i="1"/>
  <c r="H22" i="1"/>
  <c r="R22" i="1" s="1"/>
  <c r="B22" i="1"/>
  <c r="H25" i="1"/>
  <c r="R25" i="1" s="1"/>
  <c r="B25" i="1"/>
  <c r="B24" i="1"/>
  <c r="L24" i="1" s="1"/>
  <c r="H24" i="1"/>
  <c r="R24" i="1" s="1"/>
  <c r="B23" i="1"/>
  <c r="H23" i="1"/>
  <c r="R23" i="1" s="1"/>
  <c r="C11" i="2"/>
  <c r="E5" i="2"/>
  <c r="E24" i="1"/>
  <c r="O24" i="1" s="1"/>
  <c r="G24" i="1"/>
  <c r="Q24" i="1" s="1"/>
  <c r="C24" i="1"/>
  <c r="M24" i="1" s="1"/>
  <c r="D24" i="1"/>
  <c r="N24" i="1" s="1"/>
  <c r="F24" i="1"/>
  <c r="P24" i="1" s="1"/>
  <c r="G23" i="1"/>
  <c r="Q23" i="1" s="1"/>
  <c r="C23" i="1"/>
  <c r="M23" i="1" s="1"/>
  <c r="D23" i="1"/>
  <c r="N23" i="1" s="1"/>
  <c r="E23" i="1"/>
  <c r="O23" i="1" s="1"/>
  <c r="F23" i="1"/>
  <c r="P23" i="1" s="1"/>
  <c r="C21" i="1"/>
  <c r="M21" i="1" s="1"/>
  <c r="D21" i="1"/>
  <c r="N21" i="1" s="1"/>
  <c r="E21" i="1"/>
  <c r="O21" i="1" s="1"/>
  <c r="G21" i="1"/>
  <c r="Q21" i="1" s="1"/>
  <c r="F21" i="1"/>
  <c r="P21" i="1" s="1"/>
  <c r="C18" i="1"/>
  <c r="M18" i="1" s="1"/>
  <c r="E18" i="1"/>
  <c r="O18" i="1" s="1"/>
  <c r="F18" i="1"/>
  <c r="G18" i="1"/>
  <c r="D18" i="1"/>
  <c r="G22" i="1"/>
  <c r="Q22" i="1" s="1"/>
  <c r="F22" i="1"/>
  <c r="P22" i="1" s="1"/>
  <c r="E22" i="1"/>
  <c r="O22" i="1" s="1"/>
  <c r="D22" i="1"/>
  <c r="N22" i="1" s="1"/>
  <c r="C22" i="1"/>
  <c r="M22" i="1" s="1"/>
  <c r="E20" i="1"/>
  <c r="O20" i="1" s="1"/>
  <c r="G20" i="1"/>
  <c r="Q20" i="1" s="1"/>
  <c r="C20" i="1"/>
  <c r="M20" i="1" s="1"/>
  <c r="D20" i="1"/>
  <c r="N20" i="1" s="1"/>
  <c r="F20" i="1"/>
  <c r="P20" i="1" s="1"/>
  <c r="C25" i="1"/>
  <c r="M25" i="1" s="1"/>
  <c r="D25" i="1"/>
  <c r="N25" i="1" s="1"/>
  <c r="F25" i="1"/>
  <c r="P25" i="1" s="1"/>
  <c r="G25" i="1"/>
  <c r="Q25" i="1" s="1"/>
  <c r="E25" i="1"/>
  <c r="O25" i="1" s="1"/>
  <c r="G19" i="1"/>
  <c r="Q19" i="1" s="1"/>
  <c r="C19" i="1"/>
  <c r="M19" i="1" s="1"/>
  <c r="F19" i="1"/>
  <c r="P19" i="1" s="1"/>
  <c r="D19" i="1"/>
  <c r="N19" i="1" s="1"/>
  <c r="E19" i="1"/>
  <c r="O19" i="1" s="1"/>
  <c r="C12" i="4"/>
  <c r="B12" i="4"/>
  <c r="R7" i="1"/>
  <c r="R5" i="1"/>
  <c r="E51" i="1"/>
  <c r="F51" i="1" s="1"/>
  <c r="G51" i="1" s="1"/>
  <c r="R8" i="1"/>
  <c r="E48" i="1"/>
  <c r="F48" i="1" s="1"/>
  <c r="G48" i="1" s="1"/>
  <c r="R9" i="1"/>
  <c r="R4" i="1"/>
  <c r="E50" i="1"/>
  <c r="F50" i="1" s="1"/>
  <c r="G50" i="1" s="1"/>
  <c r="E49" i="1"/>
  <c r="F49" i="1" s="1"/>
  <c r="G49" i="1" s="1"/>
  <c r="R6" i="1"/>
  <c r="E52" i="1"/>
  <c r="F52" i="1" s="1"/>
  <c r="G52" i="1" s="1"/>
  <c r="R10" i="1"/>
  <c r="E6" i="2"/>
  <c r="E4" i="2"/>
  <c r="E3" i="2"/>
  <c r="B11" i="2"/>
  <c r="Q11" i="1"/>
  <c r="R3" i="1"/>
  <c r="D53" i="1"/>
  <c r="E3" i="4"/>
  <c r="E4" i="4"/>
  <c r="E6" i="4"/>
  <c r="E2" i="4"/>
  <c r="E8" i="4" s="1"/>
  <c r="E5" i="4"/>
  <c r="S20" i="1" l="1"/>
  <c r="R26" i="1"/>
  <c r="S24" i="1"/>
  <c r="I18" i="1"/>
  <c r="L18" i="1"/>
  <c r="D11" i="2"/>
  <c r="B4" i="2" s="1"/>
  <c r="I23" i="1"/>
  <c r="H26" i="1"/>
  <c r="I20" i="1"/>
  <c r="I21" i="1"/>
  <c r="I24" i="1"/>
  <c r="L23" i="1"/>
  <c r="S23" i="1" s="1"/>
  <c r="I22" i="1"/>
  <c r="I25" i="1"/>
  <c r="I19" i="1"/>
  <c r="D12" i="4"/>
  <c r="B4" i="4" s="1"/>
  <c r="L25" i="1"/>
  <c r="S25" i="1" s="1"/>
  <c r="L22" i="1"/>
  <c r="S22" i="1" s="1"/>
  <c r="P18" i="1"/>
  <c r="P26" i="1" s="1"/>
  <c r="F26" i="1"/>
  <c r="Q18" i="1"/>
  <c r="Q26" i="1" s="1"/>
  <c r="G26" i="1"/>
  <c r="G53" i="1"/>
  <c r="E26" i="1"/>
  <c r="C26" i="1"/>
  <c r="N18" i="1"/>
  <c r="N26" i="1" s="1"/>
  <c r="D26" i="1"/>
  <c r="O26" i="1"/>
  <c r="R11" i="1"/>
  <c r="M43" i="1" s="1"/>
  <c r="B26" i="1"/>
  <c r="F53" i="1"/>
  <c r="L19" i="1"/>
  <c r="S19" i="1" s="1"/>
  <c r="L21" i="1"/>
  <c r="S21" i="1" s="1"/>
  <c r="D30" i="1" l="1"/>
  <c r="G30" i="1"/>
  <c r="H30" i="1"/>
  <c r="H36" i="1" s="1"/>
  <c r="I26" i="1"/>
  <c r="B30" i="1"/>
  <c r="B38" i="1" s="1"/>
  <c r="B40" i="1" s="1"/>
  <c r="D38" i="1"/>
  <c r="S18" i="1"/>
  <c r="S26" i="1" s="1"/>
  <c r="M26" i="1"/>
  <c r="G38" i="1"/>
  <c r="G40" i="1" s="1"/>
  <c r="F30" i="1"/>
  <c r="F36" i="1" s="1"/>
  <c r="E30" i="1"/>
  <c r="E38" i="1" s="1"/>
  <c r="C30" i="1"/>
  <c r="C36" i="1" s="1"/>
  <c r="L30" i="1"/>
  <c r="K43" i="1"/>
  <c r="L26" i="1"/>
  <c r="H38" i="1" l="1"/>
  <c r="H40" i="1" s="1"/>
  <c r="H42" i="1" s="1"/>
  <c r="I30" i="1"/>
  <c r="U34" i="1" s="1"/>
  <c r="C38" i="1"/>
  <c r="C40" i="1" s="1"/>
  <c r="E40" i="1"/>
  <c r="E42" i="1" s="1"/>
  <c r="D40" i="1"/>
  <c r="D42" i="1" s="1"/>
  <c r="E36" i="1"/>
  <c r="G36" i="1"/>
  <c r="F38" i="1"/>
  <c r="D36" i="1"/>
  <c r="B36" i="1"/>
  <c r="G42" i="1"/>
  <c r="U33" i="1" l="1"/>
  <c r="F40" i="1"/>
  <c r="F42" i="1" s="1"/>
  <c r="C42" i="1"/>
  <c r="V34" i="1" l="1"/>
  <c r="I34" i="1" s="1"/>
  <c r="I40" i="1" s="1"/>
  <c r="B42" i="1"/>
  <c r="B4" i="6" l="1"/>
  <c r="I36" i="1"/>
  <c r="I38" i="1" s="1"/>
  <c r="L34" i="1"/>
  <c r="L36" i="1" s="1"/>
  <c r="I42" i="1" l="1"/>
  <c r="C8" i="6"/>
  <c r="B8" i="6"/>
</calcChain>
</file>

<file path=xl/comments1.xml><?xml version="1.0" encoding="utf-8"?>
<comments xmlns="http://schemas.openxmlformats.org/spreadsheetml/2006/main">
  <authors>
    <author>Helmut Schaschl</author>
    <author>Borna Doracic</author>
    <author>Windows User</author>
  </authors>
  <commentList>
    <comment ref="D2" authorId="0" shapeId="0">
      <text>
        <r>
          <rPr>
            <b/>
            <sz val="9"/>
            <color indexed="81"/>
            <rFont val="Segoe UI"/>
            <family val="2"/>
          </rPr>
          <t>Helmut Schaschl</t>
        </r>
        <r>
          <rPr>
            <sz val="9"/>
            <color indexed="81"/>
            <rFont val="Segoe UI"/>
            <family val="2"/>
          </rPr>
          <t>: Geben Sie hier den</t>
        </r>
        <r>
          <rPr>
            <b/>
            <sz val="9"/>
            <color indexed="81"/>
            <rFont val="Segoe UI"/>
            <family val="2"/>
          </rPr>
          <t xml:space="preserve"> % Ausmaß </t>
        </r>
        <r>
          <rPr>
            <sz val="9"/>
            <color indexed="81"/>
            <rFont val="Segoe UI"/>
            <family val="2"/>
          </rPr>
          <t>(1 Person 100% = 40h = 1.0fte) pro Mitarbeiter im Projekt an. Bitte beachten Sie; die person months (PMs) sollen mit den angegebenen PMs per Work Package (WP) im Projekt übereinstimmen! Es können auch Mischsätze kalkuliert werden z.B. 1 PhD mit &lt; 3 Jahre Berufserfahrung soll für 48 Monate im Projekt arbeiten: kalkulieren Sie 75% Anstellung nach KV mit PhD &lt; 3 Jahre und 25% nach KV für PhD &gt; 3 Jahre = daraus ergeben sich Total 100% Anstellung und 48 PMs mit gleichzeitiger Einberechnung der höheren (KV) Lohnkosten für den PhD für das Projektjahr 4</t>
        </r>
        <r>
          <rPr>
            <b/>
            <sz val="9"/>
            <color indexed="81"/>
            <rFont val="Segoe UI"/>
            <family val="2"/>
          </rPr>
          <t xml:space="preserve">.        </t>
        </r>
      </text>
    </comment>
    <comment ref="B3" authorId="1" shapeId="0">
      <text>
        <r>
          <rPr>
            <b/>
            <sz val="9"/>
            <color indexed="81"/>
            <rFont val="Tahoma"/>
            <charset val="1"/>
          </rPr>
          <t>Borna Doracic:</t>
        </r>
        <r>
          <rPr>
            <sz val="9"/>
            <color indexed="81"/>
            <rFont val="Tahoma"/>
            <charset val="1"/>
          </rPr>
          <t xml:space="preserve">
Please calculate the own Brutto Brutto salary for the Professors, this is just an estimation</t>
        </r>
      </text>
    </comment>
    <comment ref="A13" authorId="1" shapeId="0">
      <text>
        <r>
          <rPr>
            <b/>
            <sz val="9"/>
            <color indexed="81"/>
            <rFont val="Tahoma"/>
            <charset val="1"/>
          </rPr>
          <t>Borna Doracic:</t>
        </r>
        <r>
          <rPr>
            <sz val="9"/>
            <color indexed="81"/>
            <rFont val="Tahoma"/>
            <charset val="1"/>
          </rPr>
          <t xml:space="preserve">
When adding additional years, please continue the numbering in row 13 </t>
        </r>
      </text>
    </comment>
    <comment ref="A15" authorId="2" shapeId="0">
      <text>
        <r>
          <rPr>
            <b/>
            <sz val="9"/>
            <color indexed="81"/>
            <rFont val="Tahoma"/>
            <family val="2"/>
          </rPr>
          <t>Projektlaufzeit in Monaten eingeben.</t>
        </r>
        <r>
          <rPr>
            <sz val="9"/>
            <color indexed="81"/>
            <rFont val="Tahoma"/>
            <family val="2"/>
          </rPr>
          <t xml:space="preserve">
</t>
        </r>
      </text>
    </comment>
    <comment ref="B15" authorId="0" shapeId="0">
      <text>
        <r>
          <rPr>
            <b/>
            <sz val="10"/>
            <color indexed="81"/>
            <rFont val="Segoe UI"/>
            <family val="2"/>
          </rPr>
          <t>Helmut Schasch:</t>
        </r>
        <r>
          <rPr>
            <sz val="10"/>
            <color indexed="81"/>
            <rFont val="Segoe UI"/>
            <family val="2"/>
          </rPr>
          <t xml:space="preserve"> </t>
        </r>
        <r>
          <rPr>
            <b/>
            <sz val="10"/>
            <color indexed="81"/>
            <rFont val="Segoe UI"/>
            <family val="2"/>
          </rPr>
          <t>Anzahl der Projektmonate/Jahr hier eintragen!!!</t>
        </r>
      </text>
    </comment>
    <comment ref="A30" authorId="0" shapeId="0">
      <text>
        <r>
          <rPr>
            <b/>
            <sz val="9"/>
            <color indexed="81"/>
            <rFont val="Segoe UI"/>
            <family val="2"/>
          </rPr>
          <t>Helmut Schaschl:</t>
        </r>
        <r>
          <rPr>
            <sz val="9"/>
            <color indexed="81"/>
            <rFont val="Segoe UI"/>
            <family val="2"/>
          </rPr>
          <t xml:space="preserve">
Abschreibungskosten - bitte</t>
        </r>
        <r>
          <rPr>
            <b/>
            <sz val="9"/>
            <color indexed="81"/>
            <rFont val="Segoe UI"/>
            <family val="2"/>
          </rPr>
          <t xml:space="preserve"> unten</t>
        </r>
        <r>
          <rPr>
            <sz val="9"/>
            <color indexed="81"/>
            <rFont val="Segoe UI"/>
            <family val="2"/>
          </rPr>
          <t xml:space="preserve"> berechnen. </t>
        </r>
        <r>
          <rPr>
            <b/>
            <sz val="9"/>
            <color indexed="81"/>
            <rFont val="Segoe UI"/>
            <family val="2"/>
          </rPr>
          <t>Die EU fördert nur die Abschreibungskosten.</t>
        </r>
      </text>
    </comment>
    <comment ref="K30" authorId="0" shapeId="0">
      <text>
        <r>
          <rPr>
            <b/>
            <sz val="9"/>
            <color indexed="81"/>
            <rFont val="Segoe UI"/>
            <family val="2"/>
          </rPr>
          <t>Helmut Schaschl:</t>
        </r>
        <r>
          <rPr>
            <sz val="9"/>
            <color indexed="81"/>
            <rFont val="Segoe UI"/>
            <family val="2"/>
          </rPr>
          <t xml:space="preserve"> Abschreibungskosten bitte unten berechnen. </t>
        </r>
      </text>
    </comment>
    <comment ref="M42" authorId="0" shapeId="0">
      <text>
        <r>
          <rPr>
            <sz val="9"/>
            <color indexed="81"/>
            <rFont val="Segoe UI"/>
            <family val="2"/>
          </rPr>
          <t>Helmut Schaschl: berechnet die person months (PMs) für das EU Projekt basierend auf den gewählten Personalkosten!  Bitte beachten Sie, dass die PMs mit den PMs im EU Projektantrag (PMs per work packages) übereinstimmen!</t>
        </r>
      </text>
    </comment>
    <comment ref="B47" authorId="0" shapeId="0">
      <text>
        <r>
          <rPr>
            <b/>
            <sz val="9"/>
            <color indexed="81"/>
            <rFont val="Segoe UI"/>
            <family val="2"/>
          </rPr>
          <t>Helmut Schaschl:</t>
        </r>
        <r>
          <rPr>
            <sz val="9"/>
            <color indexed="81"/>
            <rFont val="Segoe UI"/>
            <family val="2"/>
          </rPr>
          <t xml:space="preserve">
Preis inkl. MWST. u. Lieferung</t>
        </r>
      </text>
    </comment>
    <comment ref="C47" authorId="0" shapeId="0">
      <text>
        <r>
          <rPr>
            <b/>
            <sz val="9"/>
            <color indexed="81"/>
            <rFont val="Segoe UI"/>
            <family val="2"/>
          </rPr>
          <t>Helmut Schaschl:</t>
        </r>
        <r>
          <rPr>
            <sz val="9"/>
            <color indexed="81"/>
            <rFont val="Segoe UI"/>
            <family val="2"/>
          </rPr>
          <t xml:space="preserve">
Geben Sie hier die grundsätzliche Nutzunsdauer an - siehe Info unten. </t>
        </r>
      </text>
    </comment>
  </commentList>
</comments>
</file>

<file path=xl/sharedStrings.xml><?xml version="1.0" encoding="utf-8"?>
<sst xmlns="http://schemas.openxmlformats.org/spreadsheetml/2006/main" count="124" uniqueCount="108">
  <si>
    <t>in Stunde pro Woche</t>
  </si>
  <si>
    <t>Gesamt</t>
  </si>
  <si>
    <t>% Ausmaß im Projekt</t>
  </si>
  <si>
    <t>PostDoc &lt; 8 Jahre</t>
  </si>
  <si>
    <t>PostDoc &gt; 8 Jahre</t>
  </si>
  <si>
    <t>PhD Student &gt; 3 Jahre</t>
  </si>
  <si>
    <t>PhD Student &lt; 3 Jahre</t>
  </si>
  <si>
    <t>Reisekosten:</t>
  </si>
  <si>
    <t>Materialkosten:</t>
  </si>
  <si>
    <t>Andere Direkte Kosten</t>
  </si>
  <si>
    <t>Direkte Kosten PK</t>
  </si>
  <si>
    <t>Publikationskosten</t>
  </si>
  <si>
    <t>Reiskosten</t>
  </si>
  <si>
    <t>Gesamt PK inkl OvH</t>
  </si>
  <si>
    <t>Indirekte Kosten/OvH</t>
  </si>
  <si>
    <t>Gesamt inkl OvH</t>
  </si>
  <si>
    <t>Datumseingabe: Monate sollen autmatisch ausgefüll/aufgefüllt werden; wenn Projektstart 2015 und 16 Monate, dann 2014 leer, 2015 12 und 2016 4</t>
  </si>
  <si>
    <t>Monate</t>
  </si>
  <si>
    <t>Aufgerundet</t>
  </si>
  <si>
    <t>restliche Monate im Jahr</t>
  </si>
  <si>
    <t>monate insgesamt</t>
  </si>
  <si>
    <t>falls sich die Tage überlappen:</t>
  </si>
  <si>
    <t>Publikationskosten:</t>
  </si>
  <si>
    <t>PK inkl. OvH</t>
  </si>
  <si>
    <t>Andere Direk. Kosten inkl. OvH</t>
  </si>
  <si>
    <t>Kosten Gesamt</t>
  </si>
  <si>
    <t>Admin/TA/Laborant</t>
  </si>
  <si>
    <t>Student (max. 20h/week)</t>
  </si>
  <si>
    <t>Kosten Gerät #1:</t>
  </si>
  <si>
    <t>Kosten Gerät #2:</t>
  </si>
  <si>
    <t>Kosten Gerät #3:</t>
  </si>
  <si>
    <t>Kosten Gerät #4:</t>
  </si>
  <si>
    <t>Kosten Gerät #5:</t>
  </si>
  <si>
    <t>Preis</t>
  </si>
  <si>
    <t>Abschr./Jahr</t>
  </si>
  <si>
    <t>Abschr. Gesamt</t>
  </si>
  <si>
    <t>Saldo</t>
  </si>
  <si>
    <t>Laufzeit Proj.</t>
  </si>
  <si>
    <t>Projektlaufzeit in Monate</t>
  </si>
  <si>
    <t>Projektjahr</t>
  </si>
  <si>
    <t>Direkte Kosten Gesamt ohne OvH</t>
  </si>
  <si>
    <t>Projektkosten Gesamt mit OvH</t>
  </si>
  <si>
    <t xml:space="preserve">Ovh = Overheads / Indirekte Kosten </t>
  </si>
  <si>
    <t>PK = brutto-brutto (gross-gross salaries, incl. employer contribution)</t>
  </si>
  <si>
    <t>€/hour</t>
  </si>
  <si>
    <t>Andere Kosten</t>
  </si>
  <si>
    <t>Persons</t>
  </si>
  <si>
    <t>SUMME:</t>
  </si>
  <si>
    <t>Person Months (PMs)</t>
  </si>
  <si>
    <t>Total PM:</t>
  </si>
  <si>
    <t>Kategorie:</t>
  </si>
  <si>
    <t>other HORIZON</t>
  </si>
  <si>
    <t>Aufteilung</t>
  </si>
  <si>
    <t>Project</t>
  </si>
  <si>
    <t>Faculty</t>
  </si>
  <si>
    <t>Central</t>
  </si>
  <si>
    <t>Prozent</t>
  </si>
  <si>
    <t>ERC</t>
  </si>
  <si>
    <t>Risk fonds</t>
  </si>
  <si>
    <t>PI</t>
  </si>
  <si>
    <t>Summe €</t>
  </si>
  <si>
    <t>Overheadsplit-Kalkulator</t>
  </si>
  <si>
    <t>&lt;-- choose</t>
  </si>
  <si>
    <t>OvH Sum €:</t>
  </si>
  <si>
    <t>Laboreinrichtungen                                   10 Jahre</t>
  </si>
  <si>
    <t>Laborkleingeräte                                         5 Jahre</t>
  </si>
  <si>
    <t>EDV Anlagen                                                4 Jahre</t>
  </si>
  <si>
    <t>Technische Anlagen und Maschinen      10 Jahre</t>
  </si>
  <si>
    <t>*PK (brutto-brutto)</t>
  </si>
  <si>
    <r>
      <t>Gerätekosten</t>
    </r>
    <r>
      <rPr>
        <b/>
        <vertAlign val="superscript"/>
        <sz val="14"/>
        <color rgb="FFFF0000"/>
        <rFont val="Calibri"/>
        <family val="2"/>
        <scheme val="minor"/>
      </rPr>
      <t>1</t>
    </r>
    <r>
      <rPr>
        <b/>
        <sz val="11"/>
        <color rgb="FF7030A0"/>
        <rFont val="Calibri"/>
        <family val="2"/>
        <scheme val="minor"/>
      </rPr>
      <t>:</t>
    </r>
  </si>
  <si>
    <t>For Equipment costs calculate first the depreciation rates at the end of this Excel sheet.</t>
  </si>
  <si>
    <t>Sachanlage (equipment)                         Nutzungsdauer (lifetime)</t>
  </si>
  <si>
    <t>Nutzungsdauer</t>
  </si>
  <si>
    <t>Overheads (OvH):</t>
  </si>
  <si>
    <t>large technical facilities</t>
  </si>
  <si>
    <t>laboratory facilities</t>
  </si>
  <si>
    <t>small small equipment</t>
  </si>
  <si>
    <t xml:space="preserve">Computers </t>
  </si>
  <si>
    <t xml:space="preserve">http://forschung.univie.ac.at/home/ </t>
  </si>
  <si>
    <t>Average &amp; Weighted Person Months (PMs) Costs (ohne OvH):</t>
  </si>
  <si>
    <r>
      <rPr>
        <b/>
        <vertAlign val="superscript"/>
        <sz val="11"/>
        <color rgb="FFFF0000"/>
        <rFont val="Calibri"/>
        <family val="2"/>
        <scheme val="minor"/>
      </rPr>
      <t>1</t>
    </r>
    <r>
      <rPr>
        <b/>
        <sz val="11"/>
        <color theme="1"/>
        <rFont val="Calibri"/>
        <family val="2"/>
        <scheme val="minor"/>
      </rPr>
      <t>ProfessorIn average</t>
    </r>
  </si>
  <si>
    <r>
      <rPr>
        <b/>
        <vertAlign val="superscript"/>
        <sz val="14"/>
        <color rgb="FFFF0000"/>
        <rFont val="Calibri"/>
        <family val="2"/>
        <scheme val="minor"/>
      </rPr>
      <t>1</t>
    </r>
    <r>
      <rPr>
        <b/>
        <sz val="12"/>
        <color rgb="FF7030A0"/>
        <rFont val="Calibri"/>
        <family val="2"/>
        <scheme val="minor"/>
      </rPr>
      <t>Berechnung Abschreibungskosten Geräte (depreciation rate) ab €1.5K Gerätekosten (darunter unter Materialkosten bugtetieren)</t>
    </r>
  </si>
  <si>
    <t>Andere Kosten (Goods &amp; Services):</t>
  </si>
  <si>
    <t>https://forschung.univie.ac.at/services/projektmanagement/</t>
  </si>
  <si>
    <r>
      <rPr>
        <b/>
        <vertAlign val="superscript"/>
        <sz val="11"/>
        <color rgb="FFFF0000"/>
        <rFont val="Calibri"/>
        <family val="2"/>
        <scheme val="minor"/>
      </rPr>
      <t>2</t>
    </r>
    <r>
      <rPr>
        <b/>
        <sz val="11"/>
        <color theme="1"/>
        <rFont val="Calibri"/>
        <family val="2"/>
        <scheme val="minor"/>
      </rPr>
      <t>Project Managment</t>
    </r>
  </si>
  <si>
    <r>
      <rPr>
        <b/>
        <vertAlign val="superscript"/>
        <sz val="11"/>
        <color rgb="FFFF0000"/>
        <rFont val="Calibri"/>
        <family val="2"/>
        <scheme val="minor"/>
      </rPr>
      <t>1</t>
    </r>
    <r>
      <rPr>
        <b/>
        <sz val="11"/>
        <rFont val="Calibri"/>
        <family val="2"/>
        <scheme val="minor"/>
      </rPr>
      <t xml:space="preserve"> </t>
    </r>
    <r>
      <rPr>
        <b/>
        <sz val="11"/>
        <color rgb="FFFF0000"/>
        <rFont val="Calibri"/>
        <family val="2"/>
        <scheme val="minor"/>
      </rPr>
      <t xml:space="preserve">PI, if employed: </t>
    </r>
    <r>
      <rPr>
        <b/>
        <sz val="11"/>
        <rFont val="Calibri"/>
        <family val="2"/>
        <scheme val="minor"/>
      </rPr>
      <t xml:space="preserve">If charged to the project we recommend to calculate the actually PI gross-gross salary costs (gross salary x 1,28)  </t>
    </r>
  </si>
  <si>
    <t>Currently the effective hours/year = 1720h</t>
  </si>
  <si>
    <t>PostDoc &lt;&gt; 8 Jahr/Years and PhD &lt;&gt;3 Jahre/Years = Berufserfahrungen/work experience nach Kollektivvertrag (Details: Personalabteilung)</t>
  </si>
  <si>
    <t>PK Valorisierung/Projektjahr:</t>
  </si>
  <si>
    <r>
      <rPr>
        <b/>
        <vertAlign val="superscript"/>
        <sz val="10"/>
        <color rgb="FFFF0000"/>
        <rFont val="Arial"/>
        <family val="2"/>
      </rPr>
      <t>2</t>
    </r>
    <r>
      <rPr>
        <b/>
        <sz val="10"/>
        <color theme="1"/>
        <rFont val="Arial"/>
        <family val="2"/>
      </rPr>
      <t>Project Management</t>
    </r>
  </si>
  <si>
    <r>
      <rPr>
        <b/>
        <vertAlign val="superscript"/>
        <sz val="11"/>
        <color rgb="FFFF0000"/>
        <rFont val="Calibri"/>
        <family val="2"/>
        <scheme val="minor"/>
      </rPr>
      <t>2</t>
    </r>
    <r>
      <rPr>
        <b/>
        <sz val="11"/>
        <rFont val="Calibri"/>
        <family val="2"/>
        <scheme val="minor"/>
      </rPr>
      <t xml:space="preserve"> </t>
    </r>
    <r>
      <rPr>
        <b/>
        <sz val="11"/>
        <color rgb="FFFF0000"/>
        <rFont val="Calibri"/>
        <family val="2"/>
        <scheme val="minor"/>
      </rPr>
      <t>Project Management (optional):</t>
    </r>
    <r>
      <rPr>
        <b/>
        <vertAlign val="superscript"/>
        <sz val="11"/>
        <rFont val="Calibri"/>
        <family val="2"/>
        <scheme val="minor"/>
      </rPr>
      <t xml:space="preserve"> </t>
    </r>
    <r>
      <rPr>
        <b/>
        <sz val="11"/>
        <rFont val="Calibri"/>
        <family val="2"/>
        <scheme val="minor"/>
      </rPr>
      <t>Research Services &amp; Career Development Office offers project management support; as 5% fte; more information via the weblink below. Subject to capacity of Project Managers.</t>
    </r>
  </si>
  <si>
    <t>HORIZON EUROPE Project-Budget:</t>
  </si>
  <si>
    <t>see FAQs Horizon Europe</t>
  </si>
  <si>
    <r>
      <rPr>
        <b/>
        <vertAlign val="superscript"/>
        <sz val="14"/>
        <color rgb="FFFF0000"/>
        <rFont val="Calibri"/>
        <family val="2"/>
        <scheme val="minor"/>
      </rPr>
      <t>2</t>
    </r>
    <r>
      <rPr>
        <b/>
        <sz val="11"/>
        <color rgb="FFFF0000"/>
        <rFont val="Calibri"/>
        <family val="2"/>
        <scheme val="minor"/>
      </rPr>
      <t>ohne OvH</t>
    </r>
  </si>
  <si>
    <r>
      <rPr>
        <b/>
        <vertAlign val="superscript"/>
        <sz val="11"/>
        <color rgb="FFFF0000"/>
        <rFont val="Calibri"/>
        <family val="2"/>
        <scheme val="minor"/>
      </rPr>
      <t>1</t>
    </r>
    <r>
      <rPr>
        <b/>
        <sz val="11"/>
        <color rgb="FFFF0000"/>
        <rFont val="Calibri"/>
        <family val="2"/>
        <scheme val="minor"/>
      </rPr>
      <t xml:space="preserve"> mit OvH</t>
    </r>
  </si>
  <si>
    <r>
      <t>External Auditkosten</t>
    </r>
    <r>
      <rPr>
        <b/>
        <vertAlign val="superscript"/>
        <sz val="14"/>
        <color rgb="FFFF0000"/>
        <rFont val="Calibri"/>
        <family val="2"/>
        <scheme val="minor"/>
      </rPr>
      <t>2</t>
    </r>
    <r>
      <rPr>
        <b/>
        <sz val="11"/>
        <color rgb="FF535BFB"/>
        <rFont val="Calibri"/>
        <family val="2"/>
        <scheme val="minor"/>
      </rPr>
      <t>:</t>
    </r>
  </si>
  <si>
    <r>
      <t>Subcontracting</t>
    </r>
    <r>
      <rPr>
        <b/>
        <vertAlign val="superscript"/>
        <sz val="14"/>
        <color rgb="FFFF0000"/>
        <rFont val="Calibri"/>
        <family val="2"/>
        <scheme val="minor"/>
      </rPr>
      <t>3</t>
    </r>
    <r>
      <rPr>
        <b/>
        <sz val="11"/>
        <color rgb="FF535BFB"/>
        <rFont val="Calibri"/>
        <family val="2"/>
        <scheme val="minor"/>
      </rPr>
      <t>:</t>
    </r>
  </si>
  <si>
    <t>Personalkosten Total</t>
  </si>
  <si>
    <r>
      <t>External Auditkosten</t>
    </r>
    <r>
      <rPr>
        <b/>
        <vertAlign val="superscript"/>
        <sz val="14"/>
        <color rgb="FFFF0000"/>
        <rFont val="Calibri"/>
        <family val="2"/>
        <scheme val="minor"/>
      </rPr>
      <t>2</t>
    </r>
  </si>
  <si>
    <r>
      <t>Subcontracting</t>
    </r>
    <r>
      <rPr>
        <b/>
        <vertAlign val="superscript"/>
        <sz val="14"/>
        <color rgb="FFFF0000"/>
        <rFont val="Calibri"/>
        <family val="2"/>
        <scheme val="minor"/>
      </rPr>
      <t>3</t>
    </r>
  </si>
  <si>
    <t>Hilfszelle</t>
  </si>
  <si>
    <t xml:space="preserve"> Jahreskosten FTE 2022</t>
  </si>
  <si>
    <t>Monatskosten FTE 2022</t>
  </si>
  <si>
    <t xml:space="preserve">*Personalkosten (PK), FTE = full-time equivalent, 2022 *KV-Sätze: </t>
  </si>
  <si>
    <t>Rectorate</t>
  </si>
  <si>
    <r>
      <rPr>
        <b/>
        <sz val="11"/>
        <color rgb="FFFF0000"/>
        <rFont val="Calibri"/>
        <family val="2"/>
        <scheme val="minor"/>
      </rPr>
      <t>External Audit</t>
    </r>
    <r>
      <rPr>
        <sz val="11"/>
        <color rgb="FFFF0000"/>
        <rFont val="Calibri"/>
        <family val="2"/>
        <scheme val="minor"/>
      </rPr>
      <t xml:space="preserve"> </t>
    </r>
    <r>
      <rPr>
        <sz val="11"/>
        <rFont val="Calibri"/>
        <family val="2"/>
        <scheme val="minor"/>
      </rPr>
      <t xml:space="preserve"> - certificates of the financial statements, CFS; 1,25% of the total direct costs (it is mandatory with funding &gt;= €430k). </t>
    </r>
  </si>
  <si>
    <t>Audit costs (CSF) if the total costs &gt;430.000 EUR then caluclate c. 1.25% of the direct costs for the audit in Andere Direkte Kosten</t>
  </si>
  <si>
    <t>Updated 11/2022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</si>
</sst>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quot;€&quot;\ #,##0.00"/>
    <numFmt numFmtId="166" formatCode="&quot;€&quot;\ #,##0"/>
  </numFmts>
  <fonts count="44">
    <font>
      <sz val="11"/>
      <color theme="1"/>
      <name val="Calibri"/>
      <family val="2"/>
      <scheme val="minor"/>
    </font>
    <font>
      <b/>
      <sz val="11"/>
      <color theme="1"/>
      <name val="Calibri"/>
      <family val="2"/>
      <scheme val="minor"/>
    </font>
    <font>
      <b/>
      <sz val="10"/>
      <color theme="1"/>
      <name val="Arial"/>
      <family val="2"/>
    </font>
    <font>
      <b/>
      <sz val="12"/>
      <color theme="1"/>
      <name val="Calibri"/>
      <family val="2"/>
      <scheme val="minor"/>
    </font>
    <font>
      <b/>
      <sz val="11"/>
      <name val="Calibri"/>
      <family val="2"/>
      <scheme val="minor"/>
    </font>
    <font>
      <sz val="9"/>
      <color indexed="81"/>
      <name val="Segoe UI"/>
      <family val="2"/>
    </font>
    <font>
      <b/>
      <sz val="9"/>
      <color indexed="81"/>
      <name val="Segoe UI"/>
      <family val="2"/>
    </font>
    <font>
      <sz val="8"/>
      <color theme="1"/>
      <name val="Calibri"/>
      <family val="2"/>
      <scheme val="minor"/>
    </font>
    <font>
      <sz val="10"/>
      <color theme="1"/>
      <name val="Calibri"/>
      <family val="2"/>
      <scheme val="minor"/>
    </font>
    <font>
      <b/>
      <sz val="11"/>
      <color rgb="FFFF0000"/>
      <name val="Calibri"/>
      <family val="2"/>
      <scheme val="minor"/>
    </font>
    <font>
      <b/>
      <vertAlign val="superscript"/>
      <sz val="11"/>
      <color rgb="FFFF0000"/>
      <name val="Calibri"/>
      <family val="2"/>
      <scheme val="minor"/>
    </font>
    <font>
      <b/>
      <sz val="10"/>
      <color theme="1"/>
      <name val="Calibri"/>
      <family val="2"/>
      <scheme val="minor"/>
    </font>
    <font>
      <b/>
      <u/>
      <sz val="11"/>
      <color theme="1"/>
      <name val="Calibri"/>
      <family val="2"/>
      <scheme val="minor"/>
    </font>
    <font>
      <b/>
      <sz val="14"/>
      <color rgb="FFFF0000"/>
      <name val="Calibri"/>
      <family val="2"/>
      <scheme val="minor"/>
    </font>
    <font>
      <sz val="11"/>
      <name val="Calibri"/>
      <family val="2"/>
      <scheme val="minor"/>
    </font>
    <font>
      <sz val="11"/>
      <color rgb="FF7030A0"/>
      <name val="Calibri"/>
      <family val="2"/>
      <scheme val="minor"/>
    </font>
    <font>
      <b/>
      <sz val="11"/>
      <color rgb="FF7030A0"/>
      <name val="Calibri"/>
      <family val="2"/>
      <scheme val="minor"/>
    </font>
    <font>
      <sz val="11"/>
      <color rgb="FFFF0000"/>
      <name val="Calibri"/>
      <family val="2"/>
      <scheme val="minor"/>
    </font>
    <font>
      <u/>
      <sz val="11"/>
      <color theme="10"/>
      <name val="Calibri"/>
      <family val="2"/>
      <scheme val="minor"/>
    </font>
    <font>
      <b/>
      <sz val="12"/>
      <name val="Calibri"/>
      <family val="2"/>
      <scheme val="minor"/>
    </font>
    <font>
      <b/>
      <sz val="12"/>
      <color rgb="FFFF0000"/>
      <name val="Calibri"/>
      <family val="2"/>
      <scheme val="minor"/>
    </font>
    <font>
      <b/>
      <sz val="14"/>
      <color theme="1"/>
      <name val="Calibri"/>
      <family val="2"/>
      <scheme val="minor"/>
    </font>
    <font>
      <sz val="11"/>
      <color theme="0" tint="-0.499984740745262"/>
      <name val="Calibri"/>
      <family val="2"/>
      <scheme val="minor"/>
    </font>
    <font>
      <b/>
      <sz val="11"/>
      <color theme="0" tint="-0.499984740745262"/>
      <name val="Calibri"/>
      <family val="2"/>
      <scheme val="minor"/>
    </font>
    <font>
      <sz val="11"/>
      <color rgb="FF0070C0"/>
      <name val="Calibri"/>
      <family val="2"/>
      <scheme val="minor"/>
    </font>
    <font>
      <b/>
      <u/>
      <sz val="11"/>
      <color theme="10"/>
      <name val="Calibri"/>
      <family val="2"/>
      <scheme val="minor"/>
    </font>
    <font>
      <b/>
      <sz val="11"/>
      <color rgb="FF535BFB"/>
      <name val="Calibri"/>
      <family val="2"/>
      <scheme val="minor"/>
    </font>
    <font>
      <b/>
      <vertAlign val="superscript"/>
      <sz val="14"/>
      <color rgb="FFFF0000"/>
      <name val="Calibri"/>
      <family val="2"/>
      <scheme val="minor"/>
    </font>
    <font>
      <b/>
      <i/>
      <sz val="11"/>
      <color rgb="FFFF0000"/>
      <name val="Calibri"/>
      <family val="2"/>
      <scheme val="minor"/>
    </font>
    <font>
      <sz val="12"/>
      <color theme="1"/>
      <name val="Calibri"/>
      <family val="2"/>
      <scheme val="minor"/>
    </font>
    <font>
      <b/>
      <sz val="12"/>
      <color rgb="FF7030A0"/>
      <name val="Calibri"/>
      <family val="2"/>
      <scheme val="minor"/>
    </font>
    <font>
      <b/>
      <i/>
      <sz val="11"/>
      <color theme="1"/>
      <name val="Calibri"/>
      <family val="2"/>
      <scheme val="minor"/>
    </font>
    <font>
      <b/>
      <i/>
      <sz val="12"/>
      <color theme="1"/>
      <name val="Calibri"/>
      <family val="2"/>
      <scheme val="minor"/>
    </font>
    <font>
      <b/>
      <vertAlign val="superscript"/>
      <sz val="11"/>
      <name val="Calibri"/>
      <family val="2"/>
      <scheme val="minor"/>
    </font>
    <font>
      <b/>
      <sz val="10"/>
      <color indexed="81"/>
      <name val="Segoe UI"/>
      <family val="2"/>
    </font>
    <font>
      <sz val="10"/>
      <color indexed="81"/>
      <name val="Segoe UI"/>
      <family val="2"/>
    </font>
    <font>
      <b/>
      <vertAlign val="superscript"/>
      <sz val="10"/>
      <color rgb="FFFF0000"/>
      <name val="Arial"/>
      <family val="2"/>
    </font>
    <font>
      <sz val="10"/>
      <color theme="1"/>
      <name val="Arial Unicode MS"/>
      <family val="2"/>
    </font>
    <font>
      <sz val="9"/>
      <color indexed="81"/>
      <name val="Tahoma"/>
      <family val="2"/>
    </font>
    <font>
      <b/>
      <sz val="9"/>
      <color indexed="81"/>
      <name val="Tahoma"/>
      <family val="2"/>
    </font>
    <font>
      <sz val="11"/>
      <color rgb="FF535BFB"/>
      <name val="Calibri"/>
      <family val="2"/>
      <scheme val="minor"/>
    </font>
    <font>
      <sz val="10"/>
      <color theme="1"/>
      <name val="Arial"/>
      <family val="2"/>
    </font>
    <font>
      <sz val="9"/>
      <color indexed="81"/>
      <name val="Tahoma"/>
      <charset val="1"/>
    </font>
    <font>
      <b/>
      <sz val="9"/>
      <color indexed="81"/>
      <name val="Tahoma"/>
      <charset val="1"/>
    </font>
  </fonts>
  <fills count="18">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bgColor indexed="64"/>
      </patternFill>
    </fill>
    <fill>
      <patternFill patternType="solid">
        <fgColor rgb="FF4FD1FF"/>
        <bgColor indexed="64"/>
      </patternFill>
    </fill>
    <fill>
      <patternFill patternType="solid">
        <fgColor rgb="FFFFC000"/>
        <bgColor indexed="64"/>
      </patternFill>
    </fill>
    <fill>
      <patternFill patternType="solid">
        <fgColor theme="8" tint="0.79998168889431442"/>
        <bgColor indexed="64"/>
      </patternFill>
    </fill>
    <fill>
      <patternFill patternType="solid">
        <fgColor rgb="FF92D050"/>
        <bgColor indexed="64"/>
      </patternFill>
    </fill>
    <fill>
      <patternFill patternType="solid">
        <fgColor rgb="FF00B050"/>
        <bgColor indexed="64"/>
      </patternFill>
    </fill>
    <fill>
      <patternFill patternType="solid">
        <fgColor rgb="FFEEECE1"/>
        <bgColor indexed="64"/>
      </patternFill>
    </fill>
    <fill>
      <patternFill patternType="solid">
        <fgColor rgb="FFDCE6F1"/>
        <bgColor indexed="64"/>
      </patternFill>
    </fill>
    <fill>
      <patternFill patternType="solid">
        <fgColor rgb="FFDAEEF3"/>
        <bgColor indexed="64"/>
      </patternFill>
    </fill>
    <fill>
      <patternFill patternType="solid">
        <fgColor rgb="FFF2F2F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rgb="FFEBF1DE"/>
        <bgColor indexed="64"/>
      </patternFill>
    </fill>
  </fills>
  <borders count="88">
    <border>
      <left/>
      <right/>
      <top/>
      <bottom/>
      <diagonal/>
    </border>
    <border>
      <left style="thin">
        <color indexed="64"/>
      </left>
      <right style="thin">
        <color indexed="64"/>
      </right>
      <top style="thin">
        <color indexed="64"/>
      </top>
      <bottom style="thin">
        <color indexed="64"/>
      </bottom>
      <diagonal/>
    </border>
    <border>
      <left style="thin">
        <color auto="1"/>
      </left>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medium">
        <color indexed="64"/>
      </left>
      <right/>
      <top style="medium">
        <color indexed="64"/>
      </top>
      <bottom style="medium">
        <color indexed="64"/>
      </bottom>
      <diagonal/>
    </border>
    <border>
      <left style="thick">
        <color auto="1"/>
      </left>
      <right style="thick">
        <color auto="1"/>
      </right>
      <top style="thick">
        <color auto="1"/>
      </top>
      <bottom style="thick">
        <color auto="1"/>
      </bottom>
      <diagonal/>
    </border>
    <border>
      <left/>
      <right style="thick">
        <color auto="1"/>
      </right>
      <top/>
      <bottom/>
      <diagonal/>
    </border>
    <border>
      <left/>
      <right style="thick">
        <color auto="1"/>
      </right>
      <top/>
      <bottom style="thick">
        <color auto="1"/>
      </bottom>
      <diagonal/>
    </border>
    <border>
      <left style="thick">
        <color auto="1"/>
      </left>
      <right style="thick">
        <color auto="1"/>
      </right>
      <top/>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right style="thin">
        <color indexed="64"/>
      </right>
      <top style="thin">
        <color indexed="64"/>
      </top>
      <bottom style="thin">
        <color indexed="64"/>
      </bottom>
      <diagonal/>
    </border>
    <border>
      <left style="thick">
        <color auto="1"/>
      </left>
      <right style="thin">
        <color auto="1"/>
      </right>
      <top style="thin">
        <color auto="1"/>
      </top>
      <bottom/>
      <diagonal/>
    </border>
    <border>
      <left style="thin">
        <color auto="1"/>
      </left>
      <right style="thick">
        <color auto="1"/>
      </right>
      <top style="thin">
        <color auto="1"/>
      </top>
      <bottom/>
      <diagonal/>
    </border>
    <border>
      <left style="thick">
        <color auto="1"/>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ck">
        <color auto="1"/>
      </left>
      <right style="thin">
        <color auto="1"/>
      </right>
      <top/>
      <bottom style="thin">
        <color auto="1"/>
      </bottom>
      <diagonal/>
    </border>
    <border>
      <left style="thin">
        <color indexed="64"/>
      </left>
      <right style="thin">
        <color indexed="64"/>
      </right>
      <top/>
      <bottom style="thin">
        <color indexed="64"/>
      </bottom>
      <diagonal/>
    </border>
    <border>
      <left style="thin">
        <color auto="1"/>
      </left>
      <right style="thick">
        <color auto="1"/>
      </right>
      <top/>
      <bottom style="thin">
        <color auto="1"/>
      </bottom>
      <diagonal/>
    </border>
    <border>
      <left style="thin">
        <color auto="1"/>
      </left>
      <right/>
      <top/>
      <bottom style="thick">
        <color auto="1"/>
      </bottom>
      <diagonal/>
    </border>
    <border>
      <left style="thin">
        <color auto="1"/>
      </left>
      <right/>
      <top style="thick">
        <color auto="1"/>
      </top>
      <bottom style="thick">
        <color auto="1"/>
      </bottom>
      <diagonal/>
    </border>
    <border>
      <left style="thick">
        <color auto="1"/>
      </left>
      <right style="thin">
        <color auto="1"/>
      </right>
      <top/>
      <bottom/>
      <diagonal/>
    </border>
    <border>
      <left style="thick">
        <color auto="1"/>
      </left>
      <right style="thin">
        <color auto="1"/>
      </right>
      <top/>
      <bottom style="thick">
        <color auto="1"/>
      </bottom>
      <diagonal/>
    </border>
    <border>
      <left style="thick">
        <color auto="1"/>
      </left>
      <right style="thin">
        <color auto="1"/>
      </right>
      <top style="thick">
        <color auto="1"/>
      </top>
      <bottom style="medium">
        <color auto="1"/>
      </bottom>
      <diagonal/>
    </border>
    <border>
      <left style="thin">
        <color auto="1"/>
      </left>
      <right style="thin">
        <color auto="1"/>
      </right>
      <top style="thick">
        <color auto="1"/>
      </top>
      <bottom style="medium">
        <color auto="1"/>
      </bottom>
      <diagonal/>
    </border>
    <border>
      <left style="thin">
        <color auto="1"/>
      </left>
      <right style="thick">
        <color auto="1"/>
      </right>
      <top style="thick">
        <color auto="1"/>
      </top>
      <bottom style="medium">
        <color auto="1"/>
      </bottom>
      <diagonal/>
    </border>
    <border>
      <left style="thin">
        <color auto="1"/>
      </left>
      <right/>
      <top style="thin">
        <color auto="1"/>
      </top>
      <bottom/>
      <diagonal/>
    </border>
    <border>
      <left style="thin">
        <color auto="1"/>
      </left>
      <right/>
      <top style="thick">
        <color auto="1"/>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ck">
        <color auto="1"/>
      </left>
      <right style="thick">
        <color auto="1"/>
      </right>
      <top/>
      <bottom style="thin">
        <color auto="1"/>
      </bottom>
      <diagonal/>
    </border>
    <border>
      <left style="thick">
        <color auto="1"/>
      </left>
      <right style="thick">
        <color auto="1"/>
      </right>
      <top style="thin">
        <color auto="1"/>
      </top>
      <bottom style="thin">
        <color auto="1"/>
      </bottom>
      <diagonal/>
    </border>
    <border>
      <left style="thick">
        <color auto="1"/>
      </left>
      <right style="thick">
        <color auto="1"/>
      </right>
      <top style="thin">
        <color auto="1"/>
      </top>
      <bottom style="thick">
        <color auto="1"/>
      </bottom>
      <diagonal/>
    </border>
    <border>
      <left/>
      <right/>
      <top/>
      <bottom style="thin">
        <color indexed="64"/>
      </bottom>
      <diagonal/>
    </border>
    <border>
      <left style="thick">
        <color auto="1"/>
      </left>
      <right style="thick">
        <color auto="1"/>
      </right>
      <top style="thick">
        <color auto="1"/>
      </top>
      <bottom style="medium">
        <color auto="1"/>
      </bottom>
      <diagonal/>
    </border>
    <border>
      <left style="thin">
        <color auto="1"/>
      </left>
      <right style="thick">
        <color auto="1"/>
      </right>
      <top style="medium">
        <color auto="1"/>
      </top>
      <bottom style="thin">
        <color auto="1"/>
      </bottom>
      <diagonal/>
    </border>
    <border>
      <left/>
      <right style="thick">
        <color auto="1"/>
      </right>
      <top style="thick">
        <color auto="1"/>
      </top>
      <bottom/>
      <diagonal/>
    </border>
    <border>
      <left style="thick">
        <color auto="1"/>
      </left>
      <right/>
      <top style="thick">
        <color auto="1"/>
      </top>
      <bottom style="medium">
        <color auto="1"/>
      </bottom>
      <diagonal/>
    </border>
    <border>
      <left style="thin">
        <color auto="1"/>
      </left>
      <right/>
      <top style="thick">
        <color auto="1"/>
      </top>
      <bottom style="thin">
        <color auto="1"/>
      </bottom>
      <diagonal/>
    </border>
    <border>
      <left style="thin">
        <color auto="1"/>
      </left>
      <right style="thick">
        <color auto="1"/>
      </right>
      <top/>
      <bottom style="thick">
        <color auto="1"/>
      </bottom>
      <diagonal/>
    </border>
    <border>
      <left style="thick">
        <color auto="1"/>
      </left>
      <right style="thick">
        <color auto="1"/>
      </right>
      <top style="thick">
        <color auto="1"/>
      </top>
      <bottom style="thin">
        <color auto="1"/>
      </bottom>
      <diagonal/>
    </border>
    <border>
      <left/>
      <right/>
      <top/>
      <bottom style="thick">
        <color auto="1"/>
      </bottom>
      <diagonal/>
    </border>
    <border>
      <left style="thick">
        <color auto="1"/>
      </left>
      <right style="thick">
        <color auto="1"/>
      </right>
      <top style="thin">
        <color auto="1"/>
      </top>
      <bottom/>
      <diagonal/>
    </border>
    <border>
      <left/>
      <right/>
      <top style="thin">
        <color indexed="64"/>
      </top>
      <bottom/>
      <diagonal/>
    </border>
    <border>
      <left/>
      <right/>
      <top style="thick">
        <color auto="1"/>
      </top>
      <bottom style="thin">
        <color indexed="64"/>
      </bottom>
      <diagonal/>
    </border>
    <border>
      <left style="thick">
        <color auto="1"/>
      </left>
      <right style="medium">
        <color auto="1"/>
      </right>
      <top style="thick">
        <color auto="1"/>
      </top>
      <bottom/>
      <diagonal/>
    </border>
    <border>
      <left style="thick">
        <color auto="1"/>
      </left>
      <right style="medium">
        <color auto="1"/>
      </right>
      <top/>
      <bottom/>
      <diagonal/>
    </border>
    <border>
      <left style="thick">
        <color auto="1"/>
      </left>
      <right style="medium">
        <color auto="1"/>
      </right>
      <top/>
      <bottom style="thick">
        <color auto="1"/>
      </bottom>
      <diagonal/>
    </border>
    <border>
      <left style="medium">
        <color auto="1"/>
      </left>
      <right style="thick">
        <color auto="1"/>
      </right>
      <top style="thick">
        <color auto="1"/>
      </top>
      <bottom style="thin">
        <color indexed="64"/>
      </bottom>
      <diagonal/>
    </border>
    <border>
      <left style="medium">
        <color auto="1"/>
      </left>
      <right style="thick">
        <color auto="1"/>
      </right>
      <top/>
      <bottom/>
      <diagonal/>
    </border>
    <border>
      <left style="medium">
        <color auto="1"/>
      </left>
      <right style="thick">
        <color auto="1"/>
      </right>
      <top style="medium">
        <color auto="1"/>
      </top>
      <bottom style="thick">
        <color auto="1"/>
      </bottom>
      <diagonal/>
    </border>
    <border>
      <left style="medium">
        <color auto="1"/>
      </left>
      <right/>
      <top style="medium">
        <color auto="1"/>
      </top>
      <bottom style="thick">
        <color auto="1"/>
      </bottom>
      <diagonal/>
    </border>
    <border>
      <left/>
      <right/>
      <top style="medium">
        <color auto="1"/>
      </top>
      <bottom style="thick">
        <color auto="1"/>
      </bottom>
      <diagonal/>
    </border>
    <border>
      <left/>
      <right style="thick">
        <color auto="1"/>
      </right>
      <top style="thick">
        <color auto="1"/>
      </top>
      <bottom style="medium">
        <color auto="1"/>
      </bottom>
      <diagonal/>
    </border>
    <border>
      <left style="medium">
        <color auto="1"/>
      </left>
      <right style="thin">
        <color auto="1"/>
      </right>
      <top style="thick">
        <color auto="1"/>
      </top>
      <bottom style="thick">
        <color auto="1"/>
      </bottom>
      <diagonal/>
    </border>
    <border>
      <left style="thick">
        <color auto="1"/>
      </left>
      <right/>
      <top style="thin">
        <color auto="1"/>
      </top>
      <bottom style="thin">
        <color auto="1"/>
      </bottom>
      <diagonal/>
    </border>
    <border>
      <left style="thick">
        <color auto="1"/>
      </left>
      <right/>
      <top style="thin">
        <color auto="1"/>
      </top>
      <bottom/>
      <diagonal/>
    </border>
    <border>
      <left style="medium">
        <color auto="1"/>
      </left>
      <right style="thin">
        <color auto="1"/>
      </right>
      <top/>
      <bottom style="thin">
        <color indexed="64"/>
      </bottom>
      <diagonal/>
    </border>
    <border>
      <left style="medium">
        <color auto="1"/>
      </left>
      <right style="thin">
        <color auto="1"/>
      </right>
      <top style="thin">
        <color indexed="64"/>
      </top>
      <bottom style="thin">
        <color indexed="64"/>
      </bottom>
      <diagonal/>
    </border>
    <border>
      <left style="medium">
        <color auto="1"/>
      </left>
      <right style="thin">
        <color auto="1"/>
      </right>
      <top style="thick">
        <color auto="1"/>
      </top>
      <bottom style="thin">
        <color auto="1"/>
      </bottom>
      <diagonal/>
    </border>
    <border>
      <left style="thick">
        <color auto="1"/>
      </left>
      <right/>
      <top/>
      <bottom style="thick">
        <color auto="1"/>
      </bottom>
      <diagonal/>
    </border>
    <border>
      <left style="thick">
        <color auto="1"/>
      </left>
      <right style="thick">
        <color auto="1"/>
      </right>
      <top/>
      <bottom style="thick">
        <color auto="1"/>
      </bottom>
      <diagonal/>
    </border>
    <border>
      <left/>
      <right style="thick">
        <color indexed="64"/>
      </right>
      <top style="thick">
        <color indexed="64"/>
      </top>
      <bottom style="thin">
        <color indexed="64"/>
      </bottom>
      <diagonal/>
    </border>
    <border>
      <left style="medium">
        <color auto="1"/>
      </left>
      <right style="thin">
        <color indexed="64"/>
      </right>
      <top style="thin">
        <color auto="1"/>
      </top>
      <bottom style="medium">
        <color auto="1"/>
      </bottom>
      <diagonal/>
    </border>
    <border>
      <left style="thin">
        <color indexed="64"/>
      </left>
      <right style="thick">
        <color auto="1"/>
      </right>
      <top style="thin">
        <color auto="1"/>
      </top>
      <bottom style="medium">
        <color auto="1"/>
      </bottom>
      <diagonal/>
    </border>
    <border>
      <left style="medium">
        <color auto="1"/>
      </left>
      <right style="thick">
        <color auto="1"/>
      </right>
      <top style="thick">
        <color auto="1"/>
      </top>
      <bottom style="medium">
        <color auto="1"/>
      </bottom>
      <diagonal/>
    </border>
    <border>
      <left style="medium">
        <color auto="1"/>
      </left>
      <right style="thin">
        <color auto="1"/>
      </right>
      <top style="medium">
        <color auto="1"/>
      </top>
      <bottom style="thick">
        <color auto="1"/>
      </bottom>
      <diagonal/>
    </border>
    <border>
      <left style="thin">
        <color auto="1"/>
      </left>
      <right/>
      <top style="medium">
        <color auto="1"/>
      </top>
      <bottom style="thick">
        <color auto="1"/>
      </bottom>
      <diagonal/>
    </border>
    <border>
      <left style="thin">
        <color auto="1"/>
      </left>
      <right/>
      <top style="thin">
        <color auto="1"/>
      </top>
      <bottom style="thick">
        <color auto="1"/>
      </bottom>
      <diagonal/>
    </border>
    <border>
      <left style="thick">
        <color auto="1"/>
      </left>
      <right style="thick">
        <color auto="1"/>
      </right>
      <top style="thin">
        <color indexed="64"/>
      </top>
      <bottom style="medium">
        <color auto="1"/>
      </bottom>
      <diagonal/>
    </border>
    <border>
      <left/>
      <right style="medium">
        <color auto="1"/>
      </right>
      <top/>
      <bottom style="medium">
        <color auto="1"/>
      </bottom>
      <diagonal/>
    </border>
    <border>
      <left style="medium">
        <color indexed="64"/>
      </left>
      <right/>
      <top/>
      <bottom style="medium">
        <color indexed="64"/>
      </bottom>
      <diagonal/>
    </border>
    <border>
      <left/>
      <right/>
      <top/>
      <bottom style="medium">
        <color auto="1"/>
      </bottom>
      <diagonal/>
    </border>
    <border>
      <left/>
      <right style="thick">
        <color auto="1"/>
      </right>
      <top/>
      <bottom style="medium">
        <color auto="1"/>
      </bottom>
      <diagonal/>
    </border>
    <border>
      <left/>
      <right/>
      <top style="thick">
        <color auto="1"/>
      </top>
      <bottom style="medium">
        <color auto="1"/>
      </bottom>
      <diagonal/>
    </border>
    <border>
      <left/>
      <right style="thin">
        <color indexed="64"/>
      </right>
      <top/>
      <bottom style="thin">
        <color indexed="64"/>
      </bottom>
      <diagonal/>
    </border>
    <border>
      <left/>
      <right style="thin">
        <color auto="1"/>
      </right>
      <top style="thick">
        <color auto="1"/>
      </top>
      <bottom style="thick">
        <color auto="1"/>
      </bottom>
      <diagonal/>
    </border>
    <border>
      <left style="thick">
        <color auto="1"/>
      </left>
      <right style="thick">
        <color auto="1"/>
      </right>
      <top style="thick">
        <color auto="1"/>
      </top>
      <bottom/>
      <diagonal/>
    </border>
    <border>
      <left/>
      <right/>
      <top style="thin">
        <color indexed="64"/>
      </top>
      <bottom style="thin">
        <color indexed="64"/>
      </bottom>
      <diagonal/>
    </border>
    <border>
      <left/>
      <right style="thin">
        <color indexed="64"/>
      </right>
      <top style="thin">
        <color indexed="64"/>
      </top>
      <bottom/>
      <diagonal/>
    </border>
  </borders>
  <cellStyleXfs count="2">
    <xf numFmtId="0" fontId="0" fillId="0" borderId="0"/>
    <xf numFmtId="0" fontId="18" fillId="0" borderId="0" applyNumberFormat="0" applyFill="0" applyBorder="0" applyAlignment="0" applyProtection="0"/>
  </cellStyleXfs>
  <cellXfs count="233">
    <xf numFmtId="0" fontId="0" fillId="0" borderId="0" xfId="0"/>
    <xf numFmtId="0" fontId="1" fillId="0" borderId="0" xfId="0" applyFont="1"/>
    <xf numFmtId="3" fontId="0" fillId="0" borderId="0" xfId="0" applyNumberFormat="1" applyAlignment="1">
      <alignment horizontal="center"/>
    </xf>
    <xf numFmtId="9" fontId="0" fillId="0" borderId="0" xfId="0" applyNumberFormat="1" applyFill="1" applyAlignment="1">
      <alignment horizontal="center"/>
    </xf>
    <xf numFmtId="0" fontId="0" fillId="0" borderId="0" xfId="0" applyFill="1"/>
    <xf numFmtId="0" fontId="1" fillId="0" borderId="2" xfId="0" applyFont="1" applyBorder="1" applyAlignment="1">
      <alignment horizontal="right"/>
    </xf>
    <xf numFmtId="0" fontId="1" fillId="0" borderId="10" xfId="0" applyFont="1" applyBorder="1"/>
    <xf numFmtId="0" fontId="0" fillId="0" borderId="15" xfId="0" applyBorder="1"/>
    <xf numFmtId="0" fontId="0" fillId="0" borderId="18" xfId="0" applyBorder="1"/>
    <xf numFmtId="3" fontId="0" fillId="0" borderId="1" xfId="0" applyNumberFormat="1" applyFill="1" applyBorder="1"/>
    <xf numFmtId="0" fontId="0" fillId="5" borderId="0" xfId="0" applyFill="1"/>
    <xf numFmtId="3" fontId="0" fillId="0" borderId="15" xfId="0" applyNumberFormat="1" applyFill="1" applyBorder="1"/>
    <xf numFmtId="3" fontId="0" fillId="0" borderId="21" xfId="0" applyNumberFormat="1" applyFill="1" applyBorder="1"/>
    <xf numFmtId="3" fontId="3" fillId="2" borderId="23" xfId="0" applyNumberFormat="1" applyFont="1" applyFill="1" applyBorder="1"/>
    <xf numFmtId="0" fontId="1" fillId="0" borderId="0" xfId="0" applyFont="1" applyBorder="1" applyAlignment="1">
      <alignment horizontal="right"/>
    </xf>
    <xf numFmtId="3" fontId="0" fillId="0" borderId="0" xfId="0" applyNumberFormat="1" applyFill="1" applyBorder="1"/>
    <xf numFmtId="3" fontId="1" fillId="7" borderId="7" xfId="0" applyNumberFormat="1" applyFont="1" applyFill="1" applyBorder="1"/>
    <xf numFmtId="3" fontId="0" fillId="0" borderId="8" xfId="0" applyNumberFormat="1" applyFont="1" applyBorder="1"/>
    <xf numFmtId="0" fontId="1" fillId="0" borderId="29" xfId="0" applyFont="1" applyBorder="1" applyAlignment="1">
      <alignment horizontal="right"/>
    </xf>
    <xf numFmtId="0" fontId="3" fillId="2" borderId="22" xfId="0" applyFont="1" applyFill="1" applyBorder="1"/>
    <xf numFmtId="0" fontId="0" fillId="0" borderId="0" xfId="0" applyBorder="1"/>
    <xf numFmtId="3" fontId="1" fillId="7" borderId="38" xfId="0" applyNumberFormat="1" applyFont="1" applyFill="1" applyBorder="1"/>
    <xf numFmtId="0" fontId="7" fillId="0" borderId="0" xfId="0" applyFont="1"/>
    <xf numFmtId="0" fontId="7" fillId="0" borderId="41" xfId="0" applyFont="1" applyBorder="1"/>
    <xf numFmtId="14" fontId="0" fillId="0" borderId="0" xfId="0" applyNumberFormat="1"/>
    <xf numFmtId="3" fontId="0" fillId="0" borderId="25" xfId="0" applyNumberFormat="1" applyFill="1" applyBorder="1"/>
    <xf numFmtId="0" fontId="3" fillId="0" borderId="11" xfId="0" applyFont="1" applyBorder="1"/>
    <xf numFmtId="3" fontId="0" fillId="0" borderId="36" xfId="0" applyNumberFormat="1" applyFill="1" applyBorder="1"/>
    <xf numFmtId="3" fontId="0" fillId="0" borderId="37" xfId="0" applyNumberFormat="1" applyFill="1" applyBorder="1"/>
    <xf numFmtId="3" fontId="0" fillId="0" borderId="43" xfId="0" applyNumberFormat="1" applyFill="1" applyBorder="1"/>
    <xf numFmtId="0" fontId="1" fillId="7" borderId="42" xfId="0" applyFont="1" applyFill="1" applyBorder="1" applyAlignment="1">
      <alignment horizontal="center"/>
    </xf>
    <xf numFmtId="3" fontId="3" fillId="2" borderId="5" xfId="0" applyNumberFormat="1" applyFont="1" applyFill="1" applyBorder="1"/>
    <xf numFmtId="0" fontId="1" fillId="0" borderId="7" xfId="0" applyFont="1" applyBorder="1"/>
    <xf numFmtId="3" fontId="1" fillId="0" borderId="7" xfId="0" applyNumberFormat="1" applyFont="1" applyBorder="1"/>
    <xf numFmtId="0" fontId="3" fillId="7" borderId="45" xfId="0" applyFont="1" applyFill="1" applyBorder="1"/>
    <xf numFmtId="0" fontId="1" fillId="0" borderId="48" xfId="0" applyFont="1" applyBorder="1" applyAlignment="1">
      <alignment horizontal="center"/>
    </xf>
    <xf numFmtId="3" fontId="0" fillId="0" borderId="48" xfId="0" applyNumberFormat="1" applyBorder="1"/>
    <xf numFmtId="0" fontId="2" fillId="0" borderId="10" xfId="0" applyFont="1" applyBorder="1"/>
    <xf numFmtId="0" fontId="0" fillId="0" borderId="21" xfId="0" applyBorder="1"/>
    <xf numFmtId="0" fontId="2" fillId="0" borderId="49" xfId="0" applyFont="1" applyBorder="1"/>
    <xf numFmtId="0" fontId="0" fillId="0" borderId="51" xfId="0" applyBorder="1"/>
    <xf numFmtId="165" fontId="0" fillId="0" borderId="0" xfId="0" applyNumberFormat="1" applyBorder="1"/>
    <xf numFmtId="0" fontId="8" fillId="0" borderId="0" xfId="0" applyFont="1" applyBorder="1" applyAlignment="1">
      <alignment vertical="top"/>
    </xf>
    <xf numFmtId="0" fontId="8" fillId="0" borderId="0" xfId="0" applyFont="1" applyBorder="1" applyAlignment="1">
      <alignment vertical="top" wrapText="1"/>
    </xf>
    <xf numFmtId="0" fontId="0" fillId="0" borderId="1" xfId="0" applyBorder="1"/>
    <xf numFmtId="0" fontId="0" fillId="0" borderId="53" xfId="0" applyBorder="1"/>
    <xf numFmtId="0" fontId="0" fillId="0" borderId="54" xfId="0" applyBorder="1" applyAlignment="1">
      <alignment horizontal="right"/>
    </xf>
    <xf numFmtId="0" fontId="0" fillId="0" borderId="55" xfId="0" applyBorder="1"/>
    <xf numFmtId="165" fontId="0" fillId="0" borderId="59" xfId="0" applyNumberFormat="1" applyBorder="1"/>
    <xf numFmtId="0" fontId="0" fillId="0" borderId="60" xfId="0" applyBorder="1"/>
    <xf numFmtId="165" fontId="0" fillId="0" borderId="60" xfId="0" applyNumberFormat="1" applyBorder="1"/>
    <xf numFmtId="3" fontId="0" fillId="0" borderId="0" xfId="0" applyNumberFormat="1"/>
    <xf numFmtId="0" fontId="9" fillId="0" borderId="0" xfId="0" applyFont="1"/>
    <xf numFmtId="0" fontId="11" fillId="0" borderId="52" xfId="0" applyFont="1" applyBorder="1" applyAlignment="1">
      <alignment horizontal="center" vertical="top"/>
    </xf>
    <xf numFmtId="0" fontId="11" fillId="0" borderId="56" xfId="0" applyFont="1" applyBorder="1" applyAlignment="1">
      <alignment horizontal="right" vertical="top"/>
    </xf>
    <xf numFmtId="166" fontId="0" fillId="0" borderId="0" xfId="0" applyNumberFormat="1" applyAlignment="1">
      <alignment horizontal="center"/>
    </xf>
    <xf numFmtId="0" fontId="3" fillId="0" borderId="4" xfId="0" applyFont="1" applyFill="1" applyBorder="1" applyAlignment="1">
      <alignment horizontal="left"/>
    </xf>
    <xf numFmtId="0" fontId="1" fillId="0" borderId="0" xfId="0" applyFont="1" applyFill="1" applyBorder="1" applyAlignment="1">
      <alignment horizontal="right"/>
    </xf>
    <xf numFmtId="0" fontId="1" fillId="0" borderId="63" xfId="0" applyFont="1" applyBorder="1"/>
    <xf numFmtId="0" fontId="1" fillId="0" borderId="64" xfId="0" applyFont="1" applyBorder="1"/>
    <xf numFmtId="0" fontId="3" fillId="0" borderId="3" xfId="0" applyFont="1" applyFill="1" applyBorder="1" applyAlignment="1">
      <alignment horizontal="left"/>
    </xf>
    <xf numFmtId="3" fontId="0" fillId="4" borderId="65" xfId="0" applyNumberFormat="1" applyFill="1" applyBorder="1"/>
    <xf numFmtId="3" fontId="1" fillId="4" borderId="62" xfId="0" applyNumberFormat="1" applyFont="1" applyFill="1" applyBorder="1"/>
    <xf numFmtId="0" fontId="1" fillId="0" borderId="67" xfId="0" applyFont="1" applyFill="1" applyBorder="1" applyAlignment="1">
      <alignment horizontal="center"/>
    </xf>
    <xf numFmtId="0" fontId="1" fillId="0" borderId="12" xfId="0" applyFont="1" applyFill="1" applyBorder="1" applyAlignment="1">
      <alignment horizontal="center"/>
    </xf>
    <xf numFmtId="0" fontId="1" fillId="0" borderId="46" xfId="0" applyFont="1" applyFill="1" applyBorder="1" applyAlignment="1">
      <alignment horizontal="center"/>
    </xf>
    <xf numFmtId="0" fontId="1" fillId="0" borderId="67" xfId="0" applyFont="1" applyFill="1" applyBorder="1" applyAlignment="1">
      <alignment horizontal="right"/>
    </xf>
    <xf numFmtId="0" fontId="1" fillId="0" borderId="12" xfId="0" applyFont="1" applyFill="1" applyBorder="1" applyAlignment="1">
      <alignment horizontal="right"/>
    </xf>
    <xf numFmtId="0" fontId="1" fillId="0" borderId="46" xfId="0" applyFont="1" applyFill="1" applyBorder="1" applyAlignment="1">
      <alignment horizontal="right"/>
    </xf>
    <xf numFmtId="0" fontId="1" fillId="0" borderId="13" xfId="0" applyFont="1" applyFill="1" applyBorder="1" applyAlignment="1">
      <alignment horizontal="right"/>
    </xf>
    <xf numFmtId="0" fontId="3" fillId="0" borderId="68" xfId="0" applyFont="1" applyFill="1" applyBorder="1"/>
    <xf numFmtId="0" fontId="1" fillId="0" borderId="49" xfId="0" applyFont="1" applyBorder="1"/>
    <xf numFmtId="0" fontId="1" fillId="0" borderId="47" xfId="0" applyFont="1" applyBorder="1"/>
    <xf numFmtId="0" fontId="1" fillId="0" borderId="69" xfId="0" applyFont="1" applyBorder="1"/>
    <xf numFmtId="3" fontId="1" fillId="0" borderId="44" xfId="0" applyNumberFormat="1" applyFont="1" applyFill="1" applyBorder="1"/>
    <xf numFmtId="0" fontId="0" fillId="0" borderId="8" xfId="0" applyBorder="1"/>
    <xf numFmtId="0" fontId="0" fillId="0" borderId="9" xfId="0" applyBorder="1"/>
    <xf numFmtId="0" fontId="0" fillId="0" borderId="5" xfId="0" applyBorder="1"/>
    <xf numFmtId="0" fontId="0" fillId="5" borderId="23" xfId="0" applyFill="1" applyBorder="1"/>
    <xf numFmtId="0" fontId="3" fillId="0" borderId="61" xfId="0" applyFont="1" applyFill="1" applyBorder="1"/>
    <xf numFmtId="0" fontId="1" fillId="0" borderId="32" xfId="0" applyFont="1" applyBorder="1" applyAlignment="1">
      <alignment horizontal="center" wrapText="1"/>
    </xf>
    <xf numFmtId="0" fontId="1" fillId="0" borderId="33" xfId="0" applyFont="1" applyBorder="1" applyAlignment="1">
      <alignment horizontal="center" wrapText="1"/>
    </xf>
    <xf numFmtId="0" fontId="1" fillId="0" borderId="0" xfId="0" applyFont="1" applyAlignment="1">
      <alignment horizontal="center"/>
    </xf>
    <xf numFmtId="0" fontId="12" fillId="0" borderId="0" xfId="0" applyFont="1"/>
    <xf numFmtId="0" fontId="3" fillId="9" borderId="3" xfId="0" applyFont="1" applyFill="1" applyBorder="1"/>
    <xf numFmtId="0" fontId="3" fillId="9" borderId="7" xfId="0" applyFont="1" applyFill="1" applyBorder="1"/>
    <xf numFmtId="0" fontId="3" fillId="9" borderId="5" xfId="0" applyFont="1" applyFill="1" applyBorder="1" applyAlignment="1">
      <alignment horizontal="left"/>
    </xf>
    <xf numFmtId="0" fontId="13" fillId="0" borderId="0" xfId="0" applyFont="1" applyFill="1"/>
    <xf numFmtId="3" fontId="14" fillId="4" borderId="65" xfId="0" applyNumberFormat="1" applyFont="1" applyFill="1" applyBorder="1"/>
    <xf numFmtId="3" fontId="15" fillId="0" borderId="8" xfId="0" applyNumberFormat="1" applyFont="1" applyBorder="1"/>
    <xf numFmtId="0" fontId="17" fillId="0" borderId="0" xfId="0" applyFont="1" applyFill="1"/>
    <xf numFmtId="0" fontId="1" fillId="0" borderId="0" xfId="0" applyFont="1" applyFill="1" applyBorder="1"/>
    <xf numFmtId="0" fontId="0" fillId="0" borderId="41" xfId="0" applyBorder="1"/>
    <xf numFmtId="0" fontId="1" fillId="0" borderId="0" xfId="0" applyFont="1" applyBorder="1" applyAlignment="1">
      <alignment horizontal="center"/>
    </xf>
    <xf numFmtId="0" fontId="1" fillId="0" borderId="0" xfId="0" applyFont="1" applyAlignment="1">
      <alignment horizontal="right"/>
    </xf>
    <xf numFmtId="2" fontId="1" fillId="0" borderId="0" xfId="0" applyNumberFormat="1" applyFont="1" applyFill="1" applyBorder="1"/>
    <xf numFmtId="2" fontId="1" fillId="0" borderId="0" xfId="0" applyNumberFormat="1" applyFont="1"/>
    <xf numFmtId="0" fontId="1" fillId="0" borderId="13" xfId="0" applyNumberFormat="1" applyFont="1" applyFill="1" applyBorder="1" applyAlignment="1">
      <alignment horizontal="center"/>
    </xf>
    <xf numFmtId="10" fontId="0" fillId="0" borderId="0" xfId="0" applyNumberFormat="1"/>
    <xf numFmtId="9" fontId="0" fillId="0" borderId="0" xfId="0" applyNumberFormat="1"/>
    <xf numFmtId="0" fontId="7" fillId="0" borderId="0" xfId="0" applyFont="1" applyBorder="1"/>
    <xf numFmtId="3" fontId="14" fillId="11" borderId="25" xfId="0" applyNumberFormat="1" applyFont="1" applyFill="1" applyBorder="1"/>
    <xf numFmtId="3" fontId="14" fillId="12" borderId="25" xfId="0" applyNumberFormat="1" applyFont="1" applyFill="1" applyBorder="1"/>
    <xf numFmtId="3" fontId="14" fillId="13" borderId="36" xfId="0" applyNumberFormat="1" applyFont="1" applyFill="1" applyBorder="1"/>
    <xf numFmtId="0" fontId="14" fillId="14" borderId="26" xfId="0" applyNumberFormat="1" applyFont="1" applyFill="1" applyBorder="1"/>
    <xf numFmtId="0" fontId="0" fillId="0" borderId="46" xfId="0" applyBorder="1"/>
    <xf numFmtId="0" fontId="0" fillId="0" borderId="27" xfId="0" applyBorder="1"/>
    <xf numFmtId="0" fontId="3" fillId="9" borderId="6" xfId="0" applyFont="1" applyFill="1" applyBorder="1" applyAlignment="1">
      <alignment horizontal="left" vertical="center"/>
    </xf>
    <xf numFmtId="3" fontId="3" fillId="4" borderId="22" xfId="0" applyNumberFormat="1" applyFont="1" applyFill="1" applyBorder="1" applyAlignment="1">
      <alignment vertical="center"/>
    </xf>
    <xf numFmtId="3" fontId="3" fillId="10" borderId="7" xfId="0" applyNumberFormat="1" applyFont="1" applyFill="1" applyBorder="1" applyAlignment="1">
      <alignment vertical="center"/>
    </xf>
    <xf numFmtId="3" fontId="3" fillId="7" borderId="7" xfId="0" applyNumberFormat="1" applyFont="1" applyFill="1" applyBorder="1" applyAlignment="1">
      <alignment vertical="center"/>
    </xf>
    <xf numFmtId="0" fontId="20" fillId="0" borderId="11" xfId="0" applyFont="1" applyBorder="1" applyAlignment="1">
      <alignment vertical="top" wrapText="1"/>
    </xf>
    <xf numFmtId="0" fontId="20" fillId="0" borderId="70" xfId="0" applyFont="1" applyBorder="1" applyAlignment="1">
      <alignment wrapText="1"/>
    </xf>
    <xf numFmtId="165" fontId="3" fillId="0" borderId="30" xfId="0" applyNumberFormat="1" applyFont="1" applyBorder="1"/>
    <xf numFmtId="2" fontId="19" fillId="0" borderId="9" xfId="0" applyNumberFormat="1" applyFont="1" applyBorder="1"/>
    <xf numFmtId="0" fontId="3" fillId="0" borderId="0" xfId="0" applyFont="1"/>
    <xf numFmtId="0" fontId="21" fillId="0" borderId="0" xfId="0" applyFont="1"/>
    <xf numFmtId="0" fontId="1" fillId="0" borderId="1" xfId="0" applyFont="1" applyBorder="1"/>
    <xf numFmtId="0" fontId="1" fillId="16" borderId="1" xfId="0" applyFont="1" applyFill="1" applyBorder="1"/>
    <xf numFmtId="0" fontId="1" fillId="16" borderId="1" xfId="0" applyFont="1" applyFill="1" applyBorder="1" applyAlignment="1">
      <alignment horizontal="center"/>
    </xf>
    <xf numFmtId="164" fontId="0" fillId="0" borderId="1" xfId="0" applyNumberFormat="1" applyBorder="1"/>
    <xf numFmtId="3" fontId="1" fillId="0" borderId="1" xfId="0" applyNumberFormat="1" applyFont="1" applyBorder="1"/>
    <xf numFmtId="3" fontId="0" fillId="15" borderId="36" xfId="0" applyNumberFormat="1" applyFill="1" applyBorder="1"/>
    <xf numFmtId="0" fontId="17" fillId="0" borderId="1" xfId="0" applyFont="1" applyFill="1" applyBorder="1"/>
    <xf numFmtId="0" fontId="17" fillId="0" borderId="19" xfId="0" applyFont="1" applyFill="1" applyBorder="1"/>
    <xf numFmtId="3" fontId="17" fillId="0" borderId="1" xfId="0" applyNumberFormat="1" applyFont="1" applyFill="1" applyBorder="1"/>
    <xf numFmtId="164" fontId="1" fillId="17" borderId="37" xfId="0" applyNumberFormat="1" applyFont="1" applyFill="1" applyBorder="1"/>
    <xf numFmtId="3" fontId="24" fillId="0" borderId="9" xfId="0" applyNumberFormat="1" applyFont="1" applyBorder="1"/>
    <xf numFmtId="0" fontId="25" fillId="0" borderId="0" xfId="1" applyFont="1"/>
    <xf numFmtId="3" fontId="28" fillId="4" borderId="66" xfId="0" applyNumberFormat="1" applyFont="1" applyFill="1" applyBorder="1"/>
    <xf numFmtId="3" fontId="28" fillId="11" borderId="1" xfId="0" applyNumberFormat="1" applyFont="1" applyFill="1" applyBorder="1"/>
    <xf numFmtId="3" fontId="28" fillId="12" borderId="1" xfId="0" applyNumberFormat="1" applyFont="1" applyFill="1" applyBorder="1"/>
    <xf numFmtId="3" fontId="28" fillId="13" borderId="1" xfId="0" applyNumberFormat="1" applyFont="1" applyFill="1" applyBorder="1"/>
    <xf numFmtId="0" fontId="29" fillId="0" borderId="51" xfId="0" applyFont="1" applyBorder="1"/>
    <xf numFmtId="0" fontId="1" fillId="0" borderId="0" xfId="0" applyFont="1" applyAlignment="1">
      <alignment horizontal="left"/>
    </xf>
    <xf numFmtId="9" fontId="9" fillId="6" borderId="25" xfId="0" applyNumberFormat="1" applyFont="1" applyFill="1" applyBorder="1" applyAlignment="1">
      <alignment horizontal="center"/>
    </xf>
    <xf numFmtId="9" fontId="9" fillId="6" borderId="1" xfId="0" applyNumberFormat="1" applyFont="1" applyFill="1" applyBorder="1" applyAlignment="1">
      <alignment horizontal="center"/>
    </xf>
    <xf numFmtId="9" fontId="9" fillId="6" borderId="17" xfId="0" applyNumberFormat="1" applyFont="1" applyFill="1" applyBorder="1" applyAlignment="1">
      <alignment horizontal="center"/>
    </xf>
    <xf numFmtId="14" fontId="9" fillId="0" borderId="0" xfId="0" applyNumberFormat="1" applyFont="1" applyFill="1" applyBorder="1"/>
    <xf numFmtId="0" fontId="4" fillId="0" borderId="3" xfId="0" applyFont="1" applyFill="1" applyBorder="1" applyAlignment="1">
      <alignment horizontal="center"/>
    </xf>
    <xf numFmtId="164" fontId="1" fillId="6" borderId="5" xfId="0" applyNumberFormat="1" applyFont="1" applyFill="1" applyBorder="1" applyAlignment="1">
      <alignment horizontal="center"/>
    </xf>
    <xf numFmtId="0" fontId="1" fillId="0" borderId="3" xfId="0" applyFont="1" applyBorder="1" applyAlignment="1">
      <alignment horizontal="center"/>
    </xf>
    <xf numFmtId="9" fontId="4" fillId="9" borderId="5" xfId="0" applyNumberFormat="1" applyFont="1" applyFill="1" applyBorder="1"/>
    <xf numFmtId="0" fontId="32" fillId="8" borderId="46" xfId="0" applyFont="1" applyFill="1" applyBorder="1" applyAlignment="1">
      <alignment horizontal="center"/>
    </xf>
    <xf numFmtId="0" fontId="32" fillId="8" borderId="13" xfId="0" applyFont="1" applyFill="1" applyBorder="1" applyAlignment="1">
      <alignment horizontal="center"/>
    </xf>
    <xf numFmtId="0" fontId="30" fillId="3" borderId="34" xfId="0" applyFont="1" applyFill="1" applyBorder="1"/>
    <xf numFmtId="3" fontId="0" fillId="0" borderId="25" xfId="0" applyNumberFormat="1" applyBorder="1" applyAlignment="1">
      <alignment horizontal="center"/>
    </xf>
    <xf numFmtId="0" fontId="9" fillId="6" borderId="32" xfId="0" applyFont="1" applyFill="1" applyBorder="1" applyAlignment="1">
      <alignment horizontal="center" wrapText="1"/>
    </xf>
    <xf numFmtId="0" fontId="16" fillId="0" borderId="2" xfId="0" applyFont="1" applyFill="1" applyBorder="1" applyAlignment="1">
      <alignment horizontal="right"/>
    </xf>
    <xf numFmtId="0" fontId="16" fillId="0" borderId="29" xfId="0" applyFont="1" applyFill="1" applyBorder="1" applyAlignment="1">
      <alignment horizontal="right"/>
    </xf>
    <xf numFmtId="0" fontId="1" fillId="0" borderId="42" xfId="0" applyFont="1" applyFill="1" applyBorder="1" applyAlignment="1">
      <alignment horizontal="center"/>
    </xf>
    <xf numFmtId="165" fontId="0" fillId="0" borderId="14" xfId="0" applyNumberFormat="1" applyBorder="1" applyAlignment="1">
      <alignment horizontal="center"/>
    </xf>
    <xf numFmtId="165" fontId="0" fillId="0" borderId="20" xfId="0" applyNumberFormat="1" applyBorder="1" applyAlignment="1">
      <alignment horizontal="center"/>
    </xf>
    <xf numFmtId="165" fontId="0" fillId="0" borderId="16" xfId="0" applyNumberFormat="1" applyBorder="1" applyAlignment="1">
      <alignment horizontal="center"/>
    </xf>
    <xf numFmtId="3" fontId="0" fillId="0" borderId="17" xfId="0" applyNumberFormat="1" applyBorder="1" applyAlignment="1">
      <alignment horizontal="center"/>
    </xf>
    <xf numFmtId="0" fontId="1" fillId="0" borderId="68" xfId="0" applyFont="1" applyBorder="1" applyAlignment="1">
      <alignment horizontal="center" wrapText="1"/>
    </xf>
    <xf numFmtId="0" fontId="1" fillId="0" borderId="49" xfId="0" applyFont="1" applyFill="1" applyBorder="1" applyAlignment="1">
      <alignment horizontal="center" wrapText="1"/>
    </xf>
    <xf numFmtId="0" fontId="11" fillId="6" borderId="70" xfId="0" applyFont="1" applyFill="1" applyBorder="1" applyAlignment="1">
      <alignment horizontal="center" vertical="top"/>
    </xf>
    <xf numFmtId="0" fontId="11" fillId="6" borderId="67" xfId="0" applyFont="1" applyFill="1" applyBorder="1" applyAlignment="1">
      <alignment horizontal="center" vertical="top"/>
    </xf>
    <xf numFmtId="165" fontId="4" fillId="6" borderId="66" xfId="0" applyNumberFormat="1" applyFont="1" applyFill="1" applyBorder="1"/>
    <xf numFmtId="1" fontId="4" fillId="6" borderId="15" xfId="0" applyNumberFormat="1" applyFont="1" applyFill="1" applyBorder="1" applyAlignment="1">
      <alignment horizontal="center"/>
    </xf>
    <xf numFmtId="165" fontId="4" fillId="6" borderId="71" xfId="0" applyNumberFormat="1" applyFont="1" applyFill="1" applyBorder="1"/>
    <xf numFmtId="1" fontId="4" fillId="6" borderId="72" xfId="0" applyNumberFormat="1" applyFont="1" applyFill="1" applyBorder="1" applyAlignment="1">
      <alignment horizontal="center"/>
    </xf>
    <xf numFmtId="0" fontId="11" fillId="0" borderId="48" xfId="0" applyFont="1" applyFill="1" applyBorder="1" applyAlignment="1">
      <alignment horizontal="center" vertical="top"/>
    </xf>
    <xf numFmtId="0" fontId="4" fillId="0" borderId="39" xfId="0" applyFont="1" applyFill="1" applyBorder="1" applyAlignment="1">
      <alignment horizontal="center"/>
    </xf>
    <xf numFmtId="165" fontId="1" fillId="0" borderId="0" xfId="0" applyNumberFormat="1" applyFont="1" applyBorder="1"/>
    <xf numFmtId="165" fontId="1" fillId="0" borderId="57" xfId="0" applyNumberFormat="1" applyFont="1" applyBorder="1"/>
    <xf numFmtId="165" fontId="1" fillId="0" borderId="60" xfId="0" applyNumberFormat="1" applyFont="1" applyBorder="1"/>
    <xf numFmtId="165" fontId="1" fillId="0" borderId="58" xfId="0" applyNumberFormat="1" applyFont="1" applyBorder="1"/>
    <xf numFmtId="0" fontId="4" fillId="0" borderId="0" xfId="0" applyFont="1" applyAlignment="1"/>
    <xf numFmtId="0" fontId="4" fillId="0" borderId="0" xfId="0" applyFont="1"/>
    <xf numFmtId="9" fontId="1" fillId="9" borderId="7" xfId="0" applyNumberFormat="1" applyFont="1" applyFill="1" applyBorder="1" applyAlignment="1">
      <alignment horizontal="center"/>
    </xf>
    <xf numFmtId="0" fontId="26" fillId="0" borderId="75" xfId="0" applyFont="1" applyBorder="1" applyAlignment="1">
      <alignment horizontal="right"/>
    </xf>
    <xf numFmtId="0" fontId="26" fillId="0" borderId="30" xfId="0" applyFont="1" applyBorder="1" applyAlignment="1">
      <alignment horizontal="right"/>
    </xf>
    <xf numFmtId="0" fontId="2" fillId="0" borderId="0" xfId="0" applyFont="1" applyBorder="1"/>
    <xf numFmtId="0" fontId="33" fillId="0" borderId="0" xfId="1" applyFont="1"/>
    <xf numFmtId="0" fontId="1" fillId="0" borderId="16" xfId="0" applyFont="1" applyBorder="1"/>
    <xf numFmtId="0" fontId="20" fillId="6" borderId="17" xfId="0" applyFont="1" applyFill="1" applyBorder="1" applyAlignment="1">
      <alignment horizontal="center"/>
    </xf>
    <xf numFmtId="0" fontId="20" fillId="6" borderId="76" xfId="0" applyFont="1" applyFill="1" applyBorder="1" applyAlignment="1">
      <alignment horizontal="center"/>
    </xf>
    <xf numFmtId="0" fontId="1" fillId="7" borderId="40" xfId="0" applyFont="1" applyFill="1" applyBorder="1" applyAlignment="1">
      <alignment horizontal="center"/>
    </xf>
    <xf numFmtId="165" fontId="0" fillId="0" borderId="39" xfId="0" applyNumberFormat="1" applyBorder="1" applyAlignment="1">
      <alignment horizontal="right"/>
    </xf>
    <xf numFmtId="165" fontId="0" fillId="0" borderId="77" xfId="0" applyNumberFormat="1" applyBorder="1" applyAlignment="1">
      <alignment horizontal="right"/>
    </xf>
    <xf numFmtId="0" fontId="9" fillId="0" borderId="0" xfId="0" applyFont="1" applyFill="1"/>
    <xf numFmtId="0" fontId="3" fillId="7" borderId="7" xfId="0" applyFont="1" applyFill="1" applyBorder="1" applyAlignment="1">
      <alignment wrapText="1"/>
    </xf>
    <xf numFmtId="3" fontId="3" fillId="7" borderId="22" xfId="0" applyNumberFormat="1" applyFont="1" applyFill="1" applyBorder="1" applyAlignment="1">
      <alignment vertical="center"/>
    </xf>
    <xf numFmtId="3" fontId="3" fillId="7" borderId="23" xfId="0" applyNumberFormat="1" applyFont="1" applyFill="1" applyBorder="1" applyAlignment="1">
      <alignment vertical="center"/>
    </xf>
    <xf numFmtId="3" fontId="3" fillId="7" borderId="28" xfId="0" applyNumberFormat="1" applyFont="1" applyFill="1" applyBorder="1" applyAlignment="1">
      <alignment vertical="center"/>
    </xf>
    <xf numFmtId="3" fontId="40" fillId="4" borderId="74" xfId="0" applyNumberFormat="1" applyFont="1" applyFill="1" applyBorder="1"/>
    <xf numFmtId="3" fontId="26" fillId="7" borderId="69" xfId="0" applyNumberFormat="1" applyFont="1" applyFill="1" applyBorder="1"/>
    <xf numFmtId="0" fontId="26" fillId="0" borderId="78" xfId="0" applyFont="1" applyFill="1" applyBorder="1" applyAlignment="1">
      <alignment horizontal="right"/>
    </xf>
    <xf numFmtId="3" fontId="40" fillId="4" borderId="79" xfId="0" applyNumberFormat="1" applyFont="1" applyFill="1" applyBorder="1"/>
    <xf numFmtId="3" fontId="40" fillId="11" borderId="80" xfId="0" applyNumberFormat="1" applyFont="1" applyFill="1" applyBorder="1"/>
    <xf numFmtId="3" fontId="40" fillId="12" borderId="80" xfId="0" applyNumberFormat="1" applyFont="1" applyFill="1" applyBorder="1"/>
    <xf numFmtId="3" fontId="40" fillId="13" borderId="80" xfId="0" applyNumberFormat="1" applyFont="1" applyFill="1" applyBorder="1"/>
    <xf numFmtId="0" fontId="40" fillId="14" borderId="81" xfId="0" applyNumberFormat="1" applyFont="1" applyFill="1" applyBorder="1"/>
    <xf numFmtId="0" fontId="1" fillId="0" borderId="41" xfId="0" applyFont="1" applyFill="1" applyBorder="1" applyAlignment="1">
      <alignment horizontal="right"/>
    </xf>
    <xf numFmtId="3" fontId="14" fillId="4" borderId="66" xfId="0" applyNumberFormat="1" applyFont="1" applyFill="1" applyBorder="1"/>
    <xf numFmtId="3" fontId="14" fillId="11" borderId="1" xfId="0" applyNumberFormat="1" applyFont="1" applyFill="1" applyBorder="1"/>
    <xf numFmtId="3" fontId="14" fillId="12" borderId="1" xfId="0" applyNumberFormat="1" applyFont="1" applyFill="1" applyBorder="1"/>
    <xf numFmtId="3" fontId="14" fillId="13" borderId="37" xfId="0" applyNumberFormat="1" applyFont="1" applyFill="1" applyBorder="1"/>
    <xf numFmtId="0" fontId="14" fillId="14" borderId="15" xfId="0" applyNumberFormat="1" applyFont="1" applyFill="1" applyBorder="1"/>
    <xf numFmtId="0" fontId="14" fillId="0" borderId="0" xfId="0" applyFont="1" applyFill="1"/>
    <xf numFmtId="3" fontId="37" fillId="0" borderId="0" xfId="0" applyNumberFormat="1" applyFont="1" applyAlignment="1">
      <alignment vertical="center"/>
    </xf>
    <xf numFmtId="0" fontId="3" fillId="7" borderId="7" xfId="0" applyFont="1" applyFill="1" applyBorder="1" applyAlignment="1">
      <alignment horizontal="left" vertical="top" wrapText="1"/>
    </xf>
    <xf numFmtId="3" fontId="0" fillId="13" borderId="37" xfId="0" applyNumberFormat="1" applyFill="1" applyBorder="1"/>
    <xf numFmtId="3" fontId="0" fillId="13" borderId="19" xfId="0" applyNumberFormat="1" applyFill="1" applyBorder="1"/>
    <xf numFmtId="0" fontId="31" fillId="13" borderId="32" xfId="0" applyFont="1" applyFill="1" applyBorder="1" applyAlignment="1">
      <alignment horizontal="center"/>
    </xf>
    <xf numFmtId="0" fontId="31" fillId="13" borderId="35" xfId="0" applyFont="1" applyFill="1" applyBorder="1" applyAlignment="1">
      <alignment horizontal="center"/>
    </xf>
    <xf numFmtId="0" fontId="31" fillId="13" borderId="82" xfId="0" applyFont="1" applyFill="1" applyBorder="1" applyAlignment="1">
      <alignment horizontal="center"/>
    </xf>
    <xf numFmtId="0" fontId="31" fillId="13" borderId="73" xfId="0" applyFont="1" applyFill="1" applyBorder="1" applyAlignment="1">
      <alignment horizontal="center"/>
    </xf>
    <xf numFmtId="3" fontId="0" fillId="0" borderId="83" xfId="0" applyNumberFormat="1" applyFill="1" applyBorder="1"/>
    <xf numFmtId="3" fontId="0" fillId="0" borderId="19" xfId="0" applyNumberFormat="1" applyFill="1" applyBorder="1"/>
    <xf numFmtId="3" fontId="3" fillId="2" borderId="84" xfId="0" applyNumberFormat="1" applyFont="1" applyFill="1" applyBorder="1"/>
    <xf numFmtId="0" fontId="1" fillId="0" borderId="85" xfId="0" applyFont="1" applyBorder="1"/>
    <xf numFmtId="0" fontId="1" fillId="0" borderId="39" xfId="0" applyFont="1" applyBorder="1"/>
    <xf numFmtId="0" fontId="1" fillId="0" borderId="50" xfId="0" applyFont="1" applyBorder="1"/>
    <xf numFmtId="0" fontId="3" fillId="2" borderId="7" xfId="0" applyFont="1" applyFill="1" applyBorder="1" applyAlignment="1">
      <alignment horizontal="left"/>
    </xf>
    <xf numFmtId="3" fontId="14" fillId="11" borderId="36" xfId="0" applyNumberFormat="1" applyFont="1" applyFill="1" applyBorder="1"/>
    <xf numFmtId="3" fontId="14" fillId="11" borderId="37" xfId="0" applyNumberFormat="1" applyFont="1" applyFill="1" applyBorder="1"/>
    <xf numFmtId="1" fontId="0" fillId="0" borderId="60" xfId="0" applyNumberFormat="1" applyBorder="1"/>
    <xf numFmtId="165" fontId="8" fillId="0" borderId="0" xfId="0" applyNumberFormat="1" applyFont="1" applyBorder="1" applyAlignment="1">
      <alignment vertical="top" wrapText="1"/>
    </xf>
    <xf numFmtId="3" fontId="28" fillId="17" borderId="1" xfId="0" applyNumberFormat="1" applyFont="1" applyFill="1" applyBorder="1"/>
    <xf numFmtId="3" fontId="28" fillId="4" borderId="86" xfId="0" applyNumberFormat="1" applyFont="1" applyFill="1" applyBorder="1"/>
    <xf numFmtId="0" fontId="3" fillId="0" borderId="31" xfId="0" applyFont="1" applyFill="1" applyBorder="1" applyAlignment="1">
      <alignment horizontal="center" wrapText="1"/>
    </xf>
    <xf numFmtId="0" fontId="0" fillId="0" borderId="0" xfId="0" applyNumberFormat="1" applyFill="1" applyBorder="1" applyAlignment="1">
      <alignment horizontal="center"/>
    </xf>
    <xf numFmtId="0" fontId="14" fillId="0" borderId="0" xfId="0" applyNumberFormat="1" applyFont="1" applyFill="1" applyBorder="1" applyAlignment="1">
      <alignment horizontal="center"/>
    </xf>
    <xf numFmtId="0" fontId="41" fillId="0" borderId="0" xfId="0" applyFont="1" applyFill="1" applyBorder="1"/>
    <xf numFmtId="165" fontId="0" fillId="3" borderId="24" xfId="0" applyNumberFormat="1" applyFill="1" applyBorder="1" applyAlignment="1">
      <alignment horizontal="center"/>
    </xf>
    <xf numFmtId="0" fontId="17" fillId="0" borderId="87" xfId="0" applyFont="1" applyFill="1" applyBorder="1"/>
    <xf numFmtId="0" fontId="0" fillId="0" borderId="0" xfId="0" applyFill="1" applyBorder="1"/>
    <xf numFmtId="0" fontId="1" fillId="0" borderId="0" xfId="0" applyFont="1" applyFill="1" applyBorder="1" applyAlignment="1">
      <alignment horizontal="center"/>
    </xf>
    <xf numFmtId="164" fontId="22" fillId="0" borderId="0" xfId="0" applyNumberFormat="1" applyFont="1" applyFill="1" applyBorder="1"/>
    <xf numFmtId="3" fontId="23" fillId="0" borderId="0" xfId="0" applyNumberFormat="1" applyFont="1" applyFill="1" applyBorder="1"/>
  </cellXfs>
  <cellStyles count="2">
    <cellStyle name="Link" xfId="1" builtinId="8"/>
    <cellStyle name="Standard" xfId="0" builtinId="0"/>
  </cellStyles>
  <dxfs count="2">
    <dxf>
      <font>
        <color rgb="FF9C0006"/>
      </font>
    </dxf>
    <dxf>
      <font>
        <color rgb="FF9C0006"/>
      </font>
    </dxf>
  </dxfs>
  <tableStyles count="0" defaultTableStyle="TableStyleMedium9" defaultPivotStyle="PivotStyleLight16"/>
  <colors>
    <mruColors>
      <color rgb="FFEBF1DE"/>
      <color rgb="FFDAEEF3"/>
      <color rgb="FFDCE6F1"/>
      <color rgb="FFEEECE1"/>
      <color rgb="FFF2F2F2"/>
      <color rgb="FFFFC000"/>
      <color rgb="FF535BFB"/>
      <color rgb="FF0070C0"/>
      <color rgb="FF4FD1FF"/>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AT"/>
              <a:t>Aufteilung der OvH</a:t>
            </a:r>
          </a:p>
        </c:rich>
      </c:tx>
      <c:layout>
        <c:manualLayout>
          <c:xMode val="edge"/>
          <c:yMode val="edge"/>
          <c:x val="4.6097112860892395E-2"/>
          <c:y val="3.703703703703703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'Uni Wien OvH Verteilung'!$A$7</c:f>
              <c:strCache>
                <c:ptCount val="1"/>
                <c:pt idx="0">
                  <c:v>Prozent</c:v>
                </c:pt>
              </c:strCache>
            </c:strRef>
          </c:tx>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4F36-49F0-BD1B-A28EBA02F102}"/>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4F36-49F0-BD1B-A28EBA02F10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extLst>
                <c:ext xmlns:c15="http://schemas.microsoft.com/office/drawing/2012/chart" uri="{02D57815-91ED-43cb-92C2-25804820EDAC}">
                  <c15:fullRef>
                    <c15:sqref>'Uni Wien OvH Verteilung'!$B$6:$F$6</c15:sqref>
                  </c15:fullRef>
                </c:ext>
              </c:extLst>
              <c:f>'Uni Wien OvH Verteilung'!$B$6:$C$6</c:f>
              <c:strCache>
                <c:ptCount val="2"/>
                <c:pt idx="0">
                  <c:v>Faculty</c:v>
                </c:pt>
                <c:pt idx="1">
                  <c:v>Rectorate</c:v>
                </c:pt>
              </c:strCache>
            </c:strRef>
          </c:cat>
          <c:val>
            <c:numRef>
              <c:extLst>
                <c:ext xmlns:c15="http://schemas.microsoft.com/office/drawing/2012/chart" uri="{02D57815-91ED-43cb-92C2-25804820EDAC}">
                  <c15:fullRef>
                    <c15:sqref>'Uni Wien OvH Verteilung'!$B$7:$F$7</c15:sqref>
                  </c15:fullRef>
                </c:ext>
              </c:extLst>
              <c:f>'Uni Wien OvH Verteilung'!$B$7:$C$7</c:f>
              <c:numCache>
                <c:formatCode>0.0%</c:formatCode>
                <c:ptCount val="2"/>
                <c:pt idx="0">
                  <c:v>0.5</c:v>
                </c:pt>
                <c:pt idx="1">
                  <c:v>0.5</c:v>
                </c:pt>
              </c:numCache>
            </c:numRef>
          </c:val>
          <c:extLst>
            <c:ext xmlns:c15="http://schemas.microsoft.com/office/drawing/2012/chart" uri="{02D57815-91ED-43cb-92C2-25804820EDAC}">
              <c15:categoryFilterExceptions>
                <c15:categoryFilterException>
                  <c15:sqref>'Uni Wien OvH Verteilung'!$D$7</c15:sqref>
                  <c15:spPr xmlns:c15="http://schemas.microsoft.com/office/drawing/2012/chart">
                    <a:solidFill>
                      <a:schemeClr val="accent3"/>
                    </a:solidFill>
                    <a:ln w="25400">
                      <a:solidFill>
                        <a:schemeClr val="lt1"/>
                      </a:solidFill>
                    </a:ln>
                    <a:effectLst/>
                    <a:sp3d contourW="25400">
                      <a:contourClr>
                        <a:schemeClr val="lt1"/>
                      </a:contourClr>
                    </a:sp3d>
                  </c15:spPr>
                  <c15:bubble3D val="0"/>
                </c15:categoryFilterException>
                <c15:categoryFilterException>
                  <c15:sqref>'Uni Wien OvH Verteilung'!$E$7</c15:sqref>
                  <c15:spPr xmlns:c15="http://schemas.microsoft.com/office/drawing/2012/chart">
                    <a:solidFill>
                      <a:schemeClr val="accent4"/>
                    </a:solidFill>
                    <a:ln w="25400">
                      <a:solidFill>
                        <a:schemeClr val="lt1"/>
                      </a:solidFill>
                    </a:ln>
                    <a:effectLst/>
                    <a:sp3d contourW="25400">
                      <a:contourClr>
                        <a:schemeClr val="lt1"/>
                      </a:contourClr>
                    </a:sp3d>
                  </c15:spPr>
                  <c15:bubble3D val="0"/>
                </c15:categoryFilterException>
                <c15:categoryFilterException>
                  <c15:sqref>'Uni Wien OvH Verteilung'!$F$7</c15:sqref>
                  <c15:spPr xmlns:c15="http://schemas.microsoft.com/office/drawing/2012/chart">
                    <a:solidFill>
                      <a:schemeClr val="accent5"/>
                    </a:solidFill>
                    <a:ln w="25400">
                      <a:solidFill>
                        <a:schemeClr val="lt1"/>
                      </a:solidFill>
                    </a:ln>
                    <a:effectLst/>
                    <a:sp3d contourW="25400">
                      <a:contourClr>
                        <a:schemeClr val="lt1"/>
                      </a:contourClr>
                    </a:sp3d>
                  </c15:spPr>
                  <c15:bubble3D val="0"/>
                </c15:categoryFilterException>
              </c15:categoryFilterExceptions>
            </c:ext>
            <c:ext xmlns:c16="http://schemas.microsoft.com/office/drawing/2014/chart" uri="{C3380CC4-5D6E-409C-BE32-E72D297353CC}">
              <c16:uniqueId val="{0000000A-4F36-49F0-BD1B-A28EBA02F102}"/>
            </c:ext>
          </c:extLst>
        </c:ser>
        <c:dLbls>
          <c:dLblPos val="outEnd"/>
          <c:showLegendKey val="0"/>
          <c:showVal val="0"/>
          <c:showCatName val="0"/>
          <c:showSerName val="0"/>
          <c:showPercent val="1"/>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786765</xdr:colOff>
      <xdr:row>8</xdr:row>
      <xdr:rowOff>174307</xdr:rowOff>
    </xdr:from>
    <xdr:to>
      <xdr:col>6</xdr:col>
      <xdr:colOff>422910</xdr:colOff>
      <xdr:row>23</xdr:row>
      <xdr:rowOff>67627</xdr:rowOff>
    </xdr:to>
    <xdr:graphicFrame macro="">
      <xdr:nvGraphicFramePr>
        <xdr:cNvPr id="2" name="Diagramm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forschung.univie.ac.at/services/projektmanagement/" TargetMode="External"/><Relationship Id="rId2" Type="http://schemas.openxmlformats.org/officeDocument/2006/relationships/hyperlink" Target="https://personalwesen.univie.ac.at/kollektivvertrag/" TargetMode="External"/><Relationship Id="rId1" Type="http://schemas.openxmlformats.org/officeDocument/2006/relationships/hyperlink" Target="http://forschung.univie.ac.at/home/"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V60"/>
  <sheetViews>
    <sheetView tabSelected="1" workbookViewId="0">
      <selection activeCell="I10" sqref="I10"/>
    </sheetView>
  </sheetViews>
  <sheetFormatPr baseColWidth="10" defaultColWidth="11.42578125" defaultRowHeight="15"/>
  <cols>
    <col min="1" max="1" width="25.7109375" customWidth="1"/>
    <col min="2" max="2" width="16" customWidth="1"/>
    <col min="3" max="3" width="15.7109375" customWidth="1"/>
    <col min="4" max="4" width="13.85546875" customWidth="1"/>
    <col min="5" max="5" width="14.85546875" customWidth="1"/>
    <col min="6" max="6" width="11.5703125" customWidth="1"/>
    <col min="7" max="7" width="14.28515625" customWidth="1"/>
    <col min="8" max="8" width="11.28515625" customWidth="1"/>
    <col min="9" max="9" width="24.7109375" customWidth="1"/>
    <col min="10" max="10" width="25.140625" customWidth="1"/>
    <col min="11" max="11" width="26.7109375" customWidth="1"/>
    <col min="12" max="12" width="9.42578125" customWidth="1"/>
    <col min="13" max="13" width="9.140625" customWidth="1"/>
    <col min="14" max="14" width="8.140625" customWidth="1"/>
    <col min="15" max="15" width="10.140625" customWidth="1"/>
    <col min="16" max="16" width="10.28515625" customWidth="1"/>
    <col min="17" max="17" width="13.28515625" customWidth="1"/>
    <col min="18" max="18" width="17.28515625" customWidth="1"/>
    <col min="19" max="19" width="15.28515625" customWidth="1"/>
  </cols>
  <sheetData>
    <row r="1" spans="1:18" s="4" customFormat="1" ht="16.149999999999999" customHeight="1" thickBot="1">
      <c r="A1" s="87" t="s">
        <v>91</v>
      </c>
      <c r="I1" s="90"/>
    </row>
    <row r="2" spans="1:18" ht="28.9" customHeight="1" thickTop="1" thickBot="1">
      <c r="A2" s="79" t="s">
        <v>68</v>
      </c>
      <c r="B2" s="223" t="s">
        <v>101</v>
      </c>
      <c r="C2" s="80" t="s">
        <v>102</v>
      </c>
      <c r="D2" s="147" t="s">
        <v>2</v>
      </c>
      <c r="E2" s="81" t="s">
        <v>0</v>
      </c>
      <c r="F2" s="155" t="s">
        <v>46</v>
      </c>
      <c r="G2" s="156" t="s">
        <v>44</v>
      </c>
      <c r="I2" s="128" t="s">
        <v>103</v>
      </c>
      <c r="P2" s="22"/>
      <c r="Q2" s="93" t="s">
        <v>46</v>
      </c>
      <c r="R2" s="93" t="s">
        <v>48</v>
      </c>
    </row>
    <row r="3" spans="1:18" ht="17.25">
      <c r="A3" s="6" t="s">
        <v>80</v>
      </c>
      <c r="B3" s="227">
        <v>135000</v>
      </c>
      <c r="C3" s="146">
        <f>B3/12</f>
        <v>11250</v>
      </c>
      <c r="D3" s="135">
        <v>0.25</v>
      </c>
      <c r="E3" s="7">
        <f>D3*40</f>
        <v>10</v>
      </c>
      <c r="F3" s="82">
        <f>(IF(D3 &gt; 0%, 1,0))*D3</f>
        <v>0.25</v>
      </c>
      <c r="G3" s="55">
        <f t="shared" ref="G3:G9" si="0">B3/1720</f>
        <v>78.488372093023258</v>
      </c>
      <c r="I3" s="1" t="s">
        <v>43</v>
      </c>
      <c r="P3" s="22"/>
      <c r="Q3" s="20">
        <f t="shared" ref="Q3:Q9" si="1">(IF(D3 &gt; 0%, 1,0))*D3</f>
        <v>0.25</v>
      </c>
      <c r="R3" s="20">
        <f>Q3*I15</f>
        <v>18</v>
      </c>
    </row>
    <row r="4" spans="1:18">
      <c r="A4" s="6" t="s">
        <v>4</v>
      </c>
      <c r="B4" s="151">
        <v>80868.990000000005</v>
      </c>
      <c r="C4" s="146">
        <f t="shared" ref="C4:C10" si="2">B4/12</f>
        <v>6739.0825000000004</v>
      </c>
      <c r="D4" s="136">
        <v>0.1</v>
      </c>
      <c r="E4" s="7">
        <f>D4*40</f>
        <v>4</v>
      </c>
      <c r="F4" s="82">
        <f t="shared" ref="F4:F9" si="3">(IF(D4 &gt; 0%, 1,0))*D4</f>
        <v>0.1</v>
      </c>
      <c r="G4" s="55">
        <f t="shared" si="0"/>
        <v>47.016854651162795</v>
      </c>
      <c r="I4" s="1" t="s">
        <v>42</v>
      </c>
      <c r="P4" s="22"/>
      <c r="Q4" s="20">
        <f t="shared" si="1"/>
        <v>0.1</v>
      </c>
      <c r="R4" s="20">
        <f>Q4*I15</f>
        <v>7.2</v>
      </c>
    </row>
    <row r="5" spans="1:18">
      <c r="A5" s="6" t="s">
        <v>3</v>
      </c>
      <c r="B5" s="151">
        <v>73198.570000000007</v>
      </c>
      <c r="C5" s="146">
        <f t="shared" si="2"/>
        <v>6099.8808333333336</v>
      </c>
      <c r="D5" s="136">
        <v>0.1</v>
      </c>
      <c r="E5" s="7">
        <f t="shared" ref="E5:E8" si="4">D5*40</f>
        <v>4</v>
      </c>
      <c r="F5" s="82">
        <f t="shared" si="3"/>
        <v>0.1</v>
      </c>
      <c r="G5" s="55">
        <f t="shared" si="0"/>
        <v>42.557308139534889</v>
      </c>
      <c r="I5" s="128" t="s">
        <v>78</v>
      </c>
      <c r="K5" s="1" t="s">
        <v>92</v>
      </c>
      <c r="P5" s="22"/>
      <c r="Q5" s="20">
        <f t="shared" si="1"/>
        <v>0.1</v>
      </c>
      <c r="R5" s="20">
        <f>Q5*I15</f>
        <v>7.2</v>
      </c>
    </row>
    <row r="6" spans="1:18">
      <c r="A6" s="6" t="s">
        <v>5</v>
      </c>
      <c r="B6" s="151">
        <v>65360.82</v>
      </c>
      <c r="C6" s="146">
        <f t="shared" si="2"/>
        <v>5446.7349999999997</v>
      </c>
      <c r="D6" s="136">
        <v>0.2</v>
      </c>
      <c r="E6" s="7">
        <f t="shared" si="4"/>
        <v>8</v>
      </c>
      <c r="F6" s="82">
        <f t="shared" si="3"/>
        <v>0.2</v>
      </c>
      <c r="G6" s="55">
        <f t="shared" si="0"/>
        <v>38.000476744186045</v>
      </c>
      <c r="I6" s="91" t="s">
        <v>86</v>
      </c>
      <c r="P6" s="22"/>
      <c r="Q6" s="20">
        <f t="shared" si="1"/>
        <v>0.2</v>
      </c>
      <c r="R6" s="20">
        <f>Q6*I15</f>
        <v>14.4</v>
      </c>
    </row>
    <row r="7" spans="1:18">
      <c r="A7" s="6" t="s">
        <v>6</v>
      </c>
      <c r="B7" s="151">
        <v>55153.39</v>
      </c>
      <c r="C7" s="146">
        <f t="shared" si="2"/>
        <v>4596.1158333333333</v>
      </c>
      <c r="D7" s="136">
        <v>0.1</v>
      </c>
      <c r="E7" s="7">
        <f t="shared" si="4"/>
        <v>4</v>
      </c>
      <c r="F7" s="82">
        <f t="shared" si="3"/>
        <v>0.1</v>
      </c>
      <c r="G7" s="55">
        <f t="shared" si="0"/>
        <v>32.065924418604652</v>
      </c>
      <c r="I7" s="91" t="s">
        <v>106</v>
      </c>
      <c r="P7" s="22"/>
      <c r="Q7" s="20">
        <f t="shared" si="1"/>
        <v>0.1</v>
      </c>
      <c r="R7" s="20">
        <f>Q7*I15</f>
        <v>7.2</v>
      </c>
    </row>
    <row r="8" spans="1:18">
      <c r="A8" s="37" t="s">
        <v>26</v>
      </c>
      <c r="B8" s="152">
        <v>39888.129999999997</v>
      </c>
      <c r="C8" s="146">
        <f t="shared" si="2"/>
        <v>3324.0108333333333</v>
      </c>
      <c r="D8" s="136">
        <v>0.1</v>
      </c>
      <c r="E8" s="38">
        <f t="shared" si="4"/>
        <v>4</v>
      </c>
      <c r="F8" s="82">
        <f t="shared" si="3"/>
        <v>0.1</v>
      </c>
      <c r="G8" s="55">
        <f t="shared" si="0"/>
        <v>23.190773255813951</v>
      </c>
      <c r="I8" s="1" t="s">
        <v>70</v>
      </c>
      <c r="P8" s="22"/>
      <c r="Q8" s="20">
        <f t="shared" si="1"/>
        <v>0.1</v>
      </c>
      <c r="R8" s="20">
        <f>Q8*I15</f>
        <v>7.2</v>
      </c>
    </row>
    <row r="9" spans="1:18">
      <c r="A9" s="174" t="s">
        <v>89</v>
      </c>
      <c r="B9" s="152">
        <v>85540</v>
      </c>
      <c r="C9" s="146">
        <f>B9/12</f>
        <v>7128.333333333333</v>
      </c>
      <c r="D9" s="135">
        <v>0.05</v>
      </c>
      <c r="E9" s="7">
        <f>D9*40</f>
        <v>2</v>
      </c>
      <c r="F9" s="82">
        <f t="shared" si="3"/>
        <v>0.05</v>
      </c>
      <c r="G9" s="55">
        <f t="shared" si="0"/>
        <v>49.732558139534881</v>
      </c>
      <c r="I9" s="170" t="s">
        <v>87</v>
      </c>
      <c r="P9" s="22"/>
      <c r="Q9" s="20">
        <f t="shared" si="1"/>
        <v>0.05</v>
      </c>
      <c r="R9" s="20">
        <f>Q9*I15</f>
        <v>3.6</v>
      </c>
    </row>
    <row r="10" spans="1:18" ht="15.75" thickBot="1">
      <c r="A10" s="39" t="s">
        <v>27</v>
      </c>
      <c r="B10" s="153">
        <v>20004.060000000001</v>
      </c>
      <c r="C10" s="154">
        <f t="shared" si="2"/>
        <v>1667.0050000000001</v>
      </c>
      <c r="D10" s="137">
        <v>0.1</v>
      </c>
      <c r="E10" s="8">
        <f>D10*20</f>
        <v>2</v>
      </c>
      <c r="F10" s="82">
        <f t="shared" ref="F10" si="5">(IF(D10 &gt; 0%, 1,0))*D10</f>
        <v>0.1</v>
      </c>
      <c r="G10" s="55">
        <f>B10/860</f>
        <v>23.260534883720933</v>
      </c>
      <c r="I10" s="134" t="s">
        <v>107</v>
      </c>
      <c r="P10" s="22"/>
      <c r="Q10" s="92">
        <f>(IF(D10 &gt; 0%, 0.5,0))*D10</f>
        <v>0.05</v>
      </c>
      <c r="R10" s="92">
        <f>Q10*I15</f>
        <v>3.6</v>
      </c>
    </row>
    <row r="11" spans="1:18" ht="15" customHeight="1" thickTop="1" thickBot="1">
      <c r="B11" s="2"/>
      <c r="C11" s="2"/>
      <c r="D11" s="3"/>
      <c r="E11" s="4"/>
      <c r="F11" s="4"/>
      <c r="P11" s="94" t="s">
        <v>47</v>
      </c>
      <c r="Q11" s="95">
        <f>SUM(Q3:Q10)</f>
        <v>0.95</v>
      </c>
      <c r="R11" s="96">
        <f>SUM(R3:R10)</f>
        <v>68.399999999999991</v>
      </c>
    </row>
    <row r="12" spans="1:18" ht="18.75" thickTop="1" thickBot="1">
      <c r="A12" s="139" t="s">
        <v>88</v>
      </c>
      <c r="B12" s="140">
        <v>0.05</v>
      </c>
      <c r="C12" s="141" t="s">
        <v>73</v>
      </c>
      <c r="D12" s="142">
        <v>0.25</v>
      </c>
      <c r="E12" s="82"/>
      <c r="F12" s="138"/>
      <c r="I12" s="169" t="s">
        <v>85</v>
      </c>
      <c r="P12" s="22"/>
    </row>
    <row r="13" spans="1:18" ht="14.45" customHeight="1" thickTop="1" thickBot="1">
      <c r="A13" s="226" t="s">
        <v>100</v>
      </c>
      <c r="B13" s="224"/>
      <c r="C13">
        <v>1</v>
      </c>
      <c r="D13" s="225">
        <v>2</v>
      </c>
      <c r="E13">
        <v>3</v>
      </c>
      <c r="F13">
        <v>4</v>
      </c>
      <c r="G13">
        <v>5</v>
      </c>
      <c r="H13">
        <v>6</v>
      </c>
      <c r="I13" s="175" t="s">
        <v>90</v>
      </c>
      <c r="P13" s="22"/>
    </row>
    <row r="14" spans="1:18" ht="16.5" thickTop="1">
      <c r="A14" s="26" t="s">
        <v>39</v>
      </c>
      <c r="B14" s="143">
        <v>2022</v>
      </c>
      <c r="C14" s="144">
        <v>2023</v>
      </c>
      <c r="D14" s="144">
        <v>2024</v>
      </c>
      <c r="E14" s="144">
        <v>2025</v>
      </c>
      <c r="F14" s="144">
        <v>2026</v>
      </c>
      <c r="G14" s="144">
        <v>2027</v>
      </c>
      <c r="H14" s="144">
        <v>2028</v>
      </c>
      <c r="I14" s="35" t="s">
        <v>1</v>
      </c>
      <c r="J14" s="128" t="s">
        <v>83</v>
      </c>
      <c r="K14" s="1"/>
      <c r="L14" s="1"/>
      <c r="M14" s="1"/>
      <c r="N14" s="1"/>
      <c r="Q14" s="22"/>
    </row>
    <row r="15" spans="1:18" ht="16.5" thickBot="1">
      <c r="A15" s="176" t="s">
        <v>38</v>
      </c>
      <c r="B15" s="177">
        <v>0</v>
      </c>
      <c r="C15" s="177">
        <v>12</v>
      </c>
      <c r="D15" s="177">
        <v>12</v>
      </c>
      <c r="E15" s="178">
        <v>12</v>
      </c>
      <c r="F15" s="178">
        <v>12</v>
      </c>
      <c r="G15" s="177">
        <v>12</v>
      </c>
      <c r="H15" s="177">
        <v>12</v>
      </c>
      <c r="I15" s="179">
        <f>SUM(B15:H15)</f>
        <v>72</v>
      </c>
      <c r="Q15" s="22"/>
    </row>
    <row r="16" spans="1:18" s="1" customFormat="1" ht="10.9" customHeight="1" thickTop="1" thickBot="1">
      <c r="A16" s="70"/>
      <c r="B16" s="71"/>
      <c r="C16" s="71"/>
      <c r="D16" s="71"/>
      <c r="E16" s="71"/>
      <c r="F16" s="71"/>
      <c r="G16" s="72"/>
      <c r="H16" s="72"/>
      <c r="I16" s="73"/>
      <c r="Q16" s="22"/>
    </row>
    <row r="17" spans="1:19" ht="17.25" thickTop="1" thickBot="1">
      <c r="A17" s="34" t="s">
        <v>10</v>
      </c>
      <c r="B17" s="66"/>
      <c r="C17" s="67"/>
      <c r="D17" s="67"/>
      <c r="E17" s="68"/>
      <c r="F17" s="68"/>
      <c r="G17" s="69"/>
      <c r="H17" s="69"/>
      <c r="I17" s="150" t="s">
        <v>1</v>
      </c>
      <c r="K17" s="85" t="s">
        <v>23</v>
      </c>
      <c r="L17" s="206">
        <v>2022</v>
      </c>
      <c r="M17" s="206">
        <v>2023</v>
      </c>
      <c r="N17" s="207">
        <v>2024</v>
      </c>
      <c r="O17" s="207">
        <v>2025</v>
      </c>
      <c r="P17" s="208">
        <v>2026</v>
      </c>
      <c r="Q17" s="209">
        <v>2027</v>
      </c>
      <c r="R17" s="209">
        <v>2028</v>
      </c>
      <c r="S17" s="32" t="s">
        <v>25</v>
      </c>
    </row>
    <row r="18" spans="1:19" ht="18.75" thickTop="1" thickBot="1">
      <c r="A18" s="6" t="s">
        <v>80</v>
      </c>
      <c r="B18" s="61">
        <f>B15*$C$3*$D$3</f>
        <v>0</v>
      </c>
      <c r="C18" s="61">
        <f t="shared" ref="C18:G18" si="6">C15*$C$3*$D$3*(1+$B$12)^C13</f>
        <v>35437.5</v>
      </c>
      <c r="D18" s="61">
        <f t="shared" si="6"/>
        <v>37209.375</v>
      </c>
      <c r="E18" s="61">
        <f t="shared" si="6"/>
        <v>39069.843750000007</v>
      </c>
      <c r="F18" s="61">
        <f t="shared" si="6"/>
        <v>41023.3359375</v>
      </c>
      <c r="G18" s="61">
        <f t="shared" si="6"/>
        <v>43074.502734375004</v>
      </c>
      <c r="H18" s="61">
        <f>H15*$C$3*$D$3*(1+$B$12)^H13</f>
        <v>45228.227871093746</v>
      </c>
      <c r="I18" s="21">
        <f>SUM(B18:H18)</f>
        <v>241042.78529296877</v>
      </c>
      <c r="K18" s="213" t="s">
        <v>80</v>
      </c>
      <c r="L18" s="210">
        <f t="shared" ref="L18:R25" si="7">B18*(1+$A$41)</f>
        <v>0</v>
      </c>
      <c r="M18" s="25">
        <f t="shared" si="7"/>
        <v>44296.875</v>
      </c>
      <c r="N18" s="25">
        <f t="shared" si="7"/>
        <v>46511.71875</v>
      </c>
      <c r="O18" s="27">
        <f t="shared" si="7"/>
        <v>48837.304687500007</v>
      </c>
      <c r="P18" s="27">
        <f t="shared" si="7"/>
        <v>51279.169921875</v>
      </c>
      <c r="Q18" s="29">
        <f t="shared" si="7"/>
        <v>53843.128417968757</v>
      </c>
      <c r="R18" s="29">
        <f t="shared" si="7"/>
        <v>56535.284838867185</v>
      </c>
      <c r="S18" s="36">
        <f>SUM(L18:R18)</f>
        <v>301303.48161621095</v>
      </c>
    </row>
    <row r="19" spans="1:19" ht="16.5" thickTop="1" thickBot="1">
      <c r="A19" s="58" t="str">
        <f t="shared" ref="A19:A23" si="8">A4</f>
        <v>PostDoc &gt; 8 Jahre</v>
      </c>
      <c r="B19" s="61">
        <f>B15*$C$4*$D$4</f>
        <v>0</v>
      </c>
      <c r="C19" s="61">
        <f t="shared" ref="C19:G19" si="9">C15*$C$4*$D$4*(1+$B$12)^C13</f>
        <v>8491.2439500000019</v>
      </c>
      <c r="D19" s="61">
        <f t="shared" si="9"/>
        <v>8915.8061475000013</v>
      </c>
      <c r="E19" s="61">
        <f t="shared" si="9"/>
        <v>9361.5964548750017</v>
      </c>
      <c r="F19" s="61">
        <f t="shared" si="9"/>
        <v>9829.6762776187516</v>
      </c>
      <c r="G19" s="61">
        <f t="shared" si="9"/>
        <v>10321.160091499691</v>
      </c>
      <c r="H19" s="61">
        <f t="shared" ref="H19" si="10">H15*$C$4*$D$4*(1+$B$12)^H13</f>
        <v>10837.218096074674</v>
      </c>
      <c r="I19" s="21">
        <f t="shared" ref="I19:I25" si="11">SUM(B19:H19)</f>
        <v>57756.701017568121</v>
      </c>
      <c r="K19" s="214" t="str">
        <f>A19</f>
        <v>PostDoc &gt; 8 Jahre</v>
      </c>
      <c r="L19" s="211">
        <f t="shared" si="7"/>
        <v>0</v>
      </c>
      <c r="M19" s="9">
        <f t="shared" si="7"/>
        <v>10614.054937500003</v>
      </c>
      <c r="N19" s="9">
        <f t="shared" si="7"/>
        <v>11144.757684375001</v>
      </c>
      <c r="O19" s="28">
        <f t="shared" si="7"/>
        <v>11701.995568593753</v>
      </c>
      <c r="P19" s="27">
        <f t="shared" si="7"/>
        <v>12287.09534702344</v>
      </c>
      <c r="Q19" s="11">
        <f t="shared" si="7"/>
        <v>12901.450114374613</v>
      </c>
      <c r="R19" s="11">
        <f t="shared" si="7"/>
        <v>13546.522620093343</v>
      </c>
      <c r="S19" s="36">
        <f t="shared" ref="S19:S25" si="12">SUM(L19:R19)</f>
        <v>72195.876271960151</v>
      </c>
    </row>
    <row r="20" spans="1:19" ht="16.5" thickTop="1" thickBot="1">
      <c r="A20" s="58" t="str">
        <f t="shared" si="8"/>
        <v>PostDoc &lt; 8 Jahre</v>
      </c>
      <c r="B20" s="61">
        <f>B15*$C$5*$D$5</f>
        <v>0</v>
      </c>
      <c r="C20" s="61">
        <f t="shared" ref="C20:G20" si="13">C15*$C$5*$D$5*(1+$B$12)^C13</f>
        <v>7685.8498500000014</v>
      </c>
      <c r="D20" s="61">
        <f t="shared" si="13"/>
        <v>8070.1423425000012</v>
      </c>
      <c r="E20" s="61">
        <f t="shared" si="13"/>
        <v>8473.6494596250013</v>
      </c>
      <c r="F20" s="61">
        <f t="shared" si="13"/>
        <v>8897.3319326062519</v>
      </c>
      <c r="G20" s="61">
        <f t="shared" si="13"/>
        <v>9342.1985292365644</v>
      </c>
      <c r="H20" s="61">
        <f t="shared" ref="H20" si="14">H15*$C$5*$D$5*(1+$B$12)^H13</f>
        <v>9809.3084556983922</v>
      </c>
      <c r="I20" s="21">
        <f t="shared" si="11"/>
        <v>52278.480569666208</v>
      </c>
      <c r="K20" s="214" t="str">
        <f>A20</f>
        <v>PostDoc &lt; 8 Jahre</v>
      </c>
      <c r="L20" s="211">
        <f t="shared" si="7"/>
        <v>0</v>
      </c>
      <c r="M20" s="9">
        <f t="shared" si="7"/>
        <v>9607.312312500002</v>
      </c>
      <c r="N20" s="9">
        <f t="shared" si="7"/>
        <v>10087.677928125002</v>
      </c>
      <c r="O20" s="28">
        <f t="shared" si="7"/>
        <v>10592.061824531251</v>
      </c>
      <c r="P20" s="27">
        <f t="shared" si="7"/>
        <v>11121.664915757814</v>
      </c>
      <c r="Q20" s="11">
        <f t="shared" si="7"/>
        <v>11677.748161545705</v>
      </c>
      <c r="R20" s="11">
        <f t="shared" si="7"/>
        <v>12261.635569622991</v>
      </c>
      <c r="S20" s="36">
        <f t="shared" si="12"/>
        <v>65348.100712082771</v>
      </c>
    </row>
    <row r="21" spans="1:19" ht="16.5" thickTop="1" thickBot="1">
      <c r="A21" s="58" t="str">
        <f t="shared" si="8"/>
        <v>PhD Student &gt; 3 Jahre</v>
      </c>
      <c r="B21" s="61">
        <f>B15*$C$6*$D$6</f>
        <v>0</v>
      </c>
      <c r="C21" s="61">
        <f t="shared" ref="C21:G21" si="15">C15*$C$6*$D$6*(1+$B$12)^C13</f>
        <v>13725.772199999999</v>
      </c>
      <c r="D21" s="61">
        <f t="shared" si="15"/>
        <v>14412.060809999999</v>
      </c>
      <c r="E21" s="61">
        <f t="shared" si="15"/>
        <v>15132.663850500001</v>
      </c>
      <c r="F21" s="61">
        <f t="shared" si="15"/>
        <v>15889.297043024999</v>
      </c>
      <c r="G21" s="61">
        <f t="shared" si="15"/>
        <v>16683.761895176249</v>
      </c>
      <c r="H21" s="61">
        <f t="shared" ref="H21" si="16">H15*$C$6*$D$6*(1+$B$12)^H13</f>
        <v>17517.949989935059</v>
      </c>
      <c r="I21" s="21">
        <f t="shared" si="11"/>
        <v>93361.505788636307</v>
      </c>
      <c r="K21" s="214" t="str">
        <f>A21</f>
        <v>PhD Student &gt; 3 Jahre</v>
      </c>
      <c r="L21" s="211">
        <f t="shared" si="7"/>
        <v>0</v>
      </c>
      <c r="M21" s="9">
        <f t="shared" si="7"/>
        <v>17157.215250000001</v>
      </c>
      <c r="N21" s="9">
        <f t="shared" si="7"/>
        <v>18015.076012499998</v>
      </c>
      <c r="O21" s="28">
        <f t="shared" si="7"/>
        <v>18915.829813125001</v>
      </c>
      <c r="P21" s="27">
        <f t="shared" si="7"/>
        <v>19861.621303781249</v>
      </c>
      <c r="Q21" s="11">
        <f t="shared" si="7"/>
        <v>20854.702368970313</v>
      </c>
      <c r="R21" s="11">
        <f t="shared" si="7"/>
        <v>21897.437487418825</v>
      </c>
      <c r="S21" s="36">
        <f t="shared" si="12"/>
        <v>116701.8822357954</v>
      </c>
    </row>
    <row r="22" spans="1:19" ht="16.5" thickTop="1" thickBot="1">
      <c r="A22" s="58" t="str">
        <f t="shared" si="8"/>
        <v>PhD Student &lt; 3 Jahre</v>
      </c>
      <c r="B22" s="61">
        <f>B15*$C$7*$D$7</f>
        <v>0</v>
      </c>
      <c r="C22" s="61">
        <f t="shared" ref="C22:G22" si="17">C15*$C$7*$D$7*(1+$B$12)^C13</f>
        <v>5791.1059500000001</v>
      </c>
      <c r="D22" s="61">
        <f t="shared" si="17"/>
        <v>6080.6612475000002</v>
      </c>
      <c r="E22" s="61">
        <f t="shared" si="17"/>
        <v>6384.6943098750007</v>
      </c>
      <c r="F22" s="61">
        <f t="shared" si="17"/>
        <v>6703.9290253687495</v>
      </c>
      <c r="G22" s="61">
        <f t="shared" si="17"/>
        <v>7039.1254766371885</v>
      </c>
      <c r="H22" s="61">
        <f t="shared" ref="H22" si="18">H15*$C$7*$D$7*(1+$B$12)^H13</f>
        <v>7391.0817504690467</v>
      </c>
      <c r="I22" s="21">
        <f t="shared" si="11"/>
        <v>39390.597759849989</v>
      </c>
      <c r="K22" s="214" t="str">
        <f>A22</f>
        <v>PhD Student &lt; 3 Jahre</v>
      </c>
      <c r="L22" s="211">
        <f t="shared" si="7"/>
        <v>0</v>
      </c>
      <c r="M22" s="9">
        <f t="shared" si="7"/>
        <v>7238.8824375000004</v>
      </c>
      <c r="N22" s="9">
        <f t="shared" si="7"/>
        <v>7600.8265593750002</v>
      </c>
      <c r="O22" s="28">
        <f t="shared" si="7"/>
        <v>7980.8678873437511</v>
      </c>
      <c r="P22" s="27">
        <f t="shared" si="7"/>
        <v>8379.9112817109362</v>
      </c>
      <c r="Q22" s="12">
        <f t="shared" si="7"/>
        <v>8798.9068457964859</v>
      </c>
      <c r="R22" s="12">
        <f t="shared" si="7"/>
        <v>9238.8521880863082</v>
      </c>
      <c r="S22" s="36">
        <f t="shared" si="12"/>
        <v>49238.247199812482</v>
      </c>
    </row>
    <row r="23" spans="1:19" ht="16.5" thickTop="1" thickBot="1">
      <c r="A23" s="59" t="str">
        <f t="shared" si="8"/>
        <v>Admin/TA/Laborant</v>
      </c>
      <c r="B23" s="61">
        <f>B15*$C$8*$D$8</f>
        <v>0</v>
      </c>
      <c r="C23" s="61">
        <f t="shared" ref="C23:G23" si="19">C15*$C$8*$D$8*(1+$B$12)^C13</f>
        <v>4188.2536500000006</v>
      </c>
      <c r="D23" s="61">
        <f t="shared" si="19"/>
        <v>4397.6663325</v>
      </c>
      <c r="E23" s="61">
        <f t="shared" si="19"/>
        <v>4617.5496491250005</v>
      </c>
      <c r="F23" s="61">
        <f t="shared" si="19"/>
        <v>4848.4271315812503</v>
      </c>
      <c r="G23" s="61">
        <f t="shared" si="19"/>
        <v>5090.8484881603135</v>
      </c>
      <c r="H23" s="61">
        <f t="shared" ref="H23" si="20">H15*$C$8*$D$8*(1+$B$12)^H13</f>
        <v>5345.3909125683285</v>
      </c>
      <c r="I23" s="21">
        <f t="shared" si="11"/>
        <v>28488.136163934894</v>
      </c>
      <c r="K23" s="215" t="str">
        <f>A23</f>
        <v>Admin/TA/Laborant</v>
      </c>
      <c r="L23" s="210">
        <f t="shared" si="7"/>
        <v>0</v>
      </c>
      <c r="M23" s="25">
        <f t="shared" si="7"/>
        <v>5235.3170625000002</v>
      </c>
      <c r="N23" s="25">
        <f t="shared" si="7"/>
        <v>5497.0829156250002</v>
      </c>
      <c r="O23" s="27">
        <f t="shared" si="7"/>
        <v>5771.9370614062509</v>
      </c>
      <c r="P23" s="27">
        <f t="shared" si="7"/>
        <v>6060.533914476563</v>
      </c>
      <c r="Q23" s="11">
        <f t="shared" si="7"/>
        <v>6363.5606102003921</v>
      </c>
      <c r="R23" s="11">
        <f t="shared" si="7"/>
        <v>6681.7386407104104</v>
      </c>
      <c r="S23" s="36">
        <f t="shared" si="12"/>
        <v>35610.170204918621</v>
      </c>
    </row>
    <row r="24" spans="1:19" ht="18.75" thickTop="1" thickBot="1">
      <c r="A24" s="174" t="s">
        <v>89</v>
      </c>
      <c r="B24" s="61">
        <f>B15*$C$9*$D$9</f>
        <v>0</v>
      </c>
      <c r="C24" s="61">
        <f t="shared" ref="C24:G24" si="21">C15*$C$9*$D$9*(1+$B$12)^C13</f>
        <v>4490.8500000000004</v>
      </c>
      <c r="D24" s="61">
        <f t="shared" si="21"/>
        <v>4715.3924999999999</v>
      </c>
      <c r="E24" s="61">
        <f t="shared" si="21"/>
        <v>4951.1621250000007</v>
      </c>
      <c r="F24" s="61">
        <f t="shared" si="21"/>
        <v>5198.7202312500003</v>
      </c>
      <c r="G24" s="61">
        <f t="shared" si="21"/>
        <v>5458.6562428125008</v>
      </c>
      <c r="H24" s="61">
        <f t="shared" ref="H24" si="22">H15*$C$9*$D$9*(1+$B$12)^H13</f>
        <v>5731.589054953125</v>
      </c>
      <c r="I24" s="21">
        <f t="shared" si="11"/>
        <v>30546.370154015625</v>
      </c>
      <c r="K24" s="215" t="s">
        <v>84</v>
      </c>
      <c r="L24" s="210">
        <f t="shared" si="7"/>
        <v>0</v>
      </c>
      <c r="M24" s="25">
        <f t="shared" si="7"/>
        <v>5613.5625</v>
      </c>
      <c r="N24" s="25">
        <f t="shared" si="7"/>
        <v>5894.2406250000004</v>
      </c>
      <c r="O24" s="27">
        <f t="shared" si="7"/>
        <v>6188.9526562500014</v>
      </c>
      <c r="P24" s="27">
        <f t="shared" si="7"/>
        <v>6498.4002890625006</v>
      </c>
      <c r="Q24" s="11">
        <f t="shared" si="7"/>
        <v>6823.3203035156257</v>
      </c>
      <c r="R24" s="11">
        <f t="shared" si="7"/>
        <v>7164.4863186914063</v>
      </c>
      <c r="S24" s="36">
        <f t="shared" si="12"/>
        <v>38182.962692519533</v>
      </c>
    </row>
    <row r="25" spans="1:19" ht="16.5" thickTop="1" thickBot="1">
      <c r="A25" s="59" t="str">
        <f>A10</f>
        <v>Student (max. 20h/week)</v>
      </c>
      <c r="B25" s="61">
        <f>B15*$C$10*$D$10</f>
        <v>0</v>
      </c>
      <c r="C25" s="61">
        <f t="shared" ref="C25:G25" si="23">C15*$C$10*$D$10*(1+$B$12)^C13</f>
        <v>2100.4263000000001</v>
      </c>
      <c r="D25" s="61">
        <f t="shared" si="23"/>
        <v>2205.447615</v>
      </c>
      <c r="E25" s="61">
        <f t="shared" si="23"/>
        <v>2315.7199957500006</v>
      </c>
      <c r="F25" s="61">
        <f t="shared" si="23"/>
        <v>2431.5059955375004</v>
      </c>
      <c r="G25" s="61">
        <f t="shared" si="23"/>
        <v>2553.0812953143754</v>
      </c>
      <c r="H25" s="61">
        <f t="shared" ref="H25" si="24">H15*$C$10*$D$10*(1+$B$12)^H13</f>
        <v>2680.7353600800939</v>
      </c>
      <c r="I25" s="21">
        <f t="shared" si="11"/>
        <v>14286.916561681972</v>
      </c>
      <c r="K25" s="215" t="str">
        <f>A25</f>
        <v>Student (max. 20h/week)</v>
      </c>
      <c r="L25" s="211">
        <f t="shared" si="7"/>
        <v>0</v>
      </c>
      <c r="M25" s="9">
        <f t="shared" si="7"/>
        <v>2625.5328749999999</v>
      </c>
      <c r="N25" s="9">
        <f t="shared" si="7"/>
        <v>2756.8095187500003</v>
      </c>
      <c r="O25" s="28">
        <f t="shared" si="7"/>
        <v>2894.649994687501</v>
      </c>
      <c r="P25" s="27">
        <f t="shared" si="7"/>
        <v>3039.3824944218754</v>
      </c>
      <c r="Q25" s="11">
        <f t="shared" si="7"/>
        <v>3191.3516191429694</v>
      </c>
      <c r="R25" s="11">
        <f t="shared" si="7"/>
        <v>3350.9192001001175</v>
      </c>
      <c r="S25" s="36">
        <f t="shared" si="12"/>
        <v>17858.645702102465</v>
      </c>
    </row>
    <row r="26" spans="1:19" ht="14.45" customHeight="1" thickTop="1" thickBot="1">
      <c r="A26" s="60" t="s">
        <v>97</v>
      </c>
      <c r="B26" s="62">
        <f t="shared" ref="B26:G26" si="25">SUM(B18:B25)</f>
        <v>0</v>
      </c>
      <c r="C26" s="62">
        <f t="shared" si="25"/>
        <v>81911.001900000017</v>
      </c>
      <c r="D26" s="62">
        <f t="shared" si="25"/>
        <v>86006.551995000002</v>
      </c>
      <c r="E26" s="62">
        <f t="shared" si="25"/>
        <v>90306.879594750004</v>
      </c>
      <c r="F26" s="62">
        <f t="shared" si="25"/>
        <v>94822.223574487507</v>
      </c>
      <c r="G26" s="62">
        <f t="shared" si="25"/>
        <v>99563.334753211879</v>
      </c>
      <c r="H26" s="62">
        <f t="shared" ref="H26" si="26">SUM(H18:H25)</f>
        <v>104541.50149087248</v>
      </c>
      <c r="I26" s="16">
        <f>SUM(I18:I25)</f>
        <v>557151.49330832192</v>
      </c>
      <c r="K26" s="216" t="s">
        <v>13</v>
      </c>
      <c r="L26" s="212">
        <f t="shared" ref="L26:Q26" si="27">SUM(L18:L25)</f>
        <v>0</v>
      </c>
      <c r="M26" s="13">
        <f t="shared" si="27"/>
        <v>102388.75237500003</v>
      </c>
      <c r="N26" s="13">
        <f t="shared" si="27"/>
        <v>107508.18999375</v>
      </c>
      <c r="O26" s="13">
        <f t="shared" si="27"/>
        <v>112883.5994934375</v>
      </c>
      <c r="P26" s="13">
        <f t="shared" si="27"/>
        <v>118527.77946810939</v>
      </c>
      <c r="Q26" s="13">
        <f t="shared" si="27"/>
        <v>124454.16844151488</v>
      </c>
      <c r="R26" s="13">
        <f t="shared" ref="R26" si="28">SUM(R18:R25)</f>
        <v>130676.87686359057</v>
      </c>
      <c r="S26" s="33">
        <f>SUM(S18:S25)</f>
        <v>696439.36663540232</v>
      </c>
    </row>
    <row r="27" spans="1:19" ht="16.5" thickTop="1" thickBot="1">
      <c r="A27" s="10"/>
      <c r="B27" s="78"/>
      <c r="C27" s="78"/>
      <c r="D27" s="78"/>
      <c r="E27" s="78"/>
      <c r="F27" s="78"/>
      <c r="G27" s="78"/>
      <c r="H27" s="78"/>
      <c r="I27" s="77"/>
    </row>
    <row r="28" spans="1:19" ht="17.25" thickTop="1" thickBot="1">
      <c r="A28" s="34" t="s">
        <v>9</v>
      </c>
      <c r="B28" s="63"/>
      <c r="C28" s="64"/>
      <c r="D28" s="64"/>
      <c r="E28" s="65"/>
      <c r="F28" s="65"/>
      <c r="G28" s="97"/>
      <c r="H28" s="97"/>
      <c r="I28" s="30" t="s">
        <v>1</v>
      </c>
      <c r="K28" s="84" t="s">
        <v>24</v>
      </c>
      <c r="L28" s="86"/>
    </row>
    <row r="29" spans="1:19">
      <c r="A29" s="5" t="s">
        <v>8</v>
      </c>
      <c r="B29" s="88">
        <v>0</v>
      </c>
      <c r="C29" s="101">
        <v>0</v>
      </c>
      <c r="D29" s="102">
        <v>0</v>
      </c>
      <c r="E29" s="103">
        <v>0</v>
      </c>
      <c r="F29" s="217">
        <v>0</v>
      </c>
      <c r="G29" s="104">
        <v>0</v>
      </c>
      <c r="H29" s="104">
        <v>0</v>
      </c>
      <c r="I29" s="21">
        <f>SUM(B29:H29)</f>
        <v>0</v>
      </c>
      <c r="K29" s="18" t="s">
        <v>8</v>
      </c>
      <c r="L29" s="17">
        <f>I29*1.25</f>
        <v>0</v>
      </c>
    </row>
    <row r="30" spans="1:19" ht="21">
      <c r="A30" s="148" t="s">
        <v>69</v>
      </c>
      <c r="B30" s="129">
        <f>F53/I15*B15</f>
        <v>0</v>
      </c>
      <c r="C30" s="130">
        <f>F53/I15*C15</f>
        <v>500</v>
      </c>
      <c r="D30" s="131">
        <f>F53/I15*D15</f>
        <v>500</v>
      </c>
      <c r="E30" s="132">
        <f>F53/I15*E15</f>
        <v>500</v>
      </c>
      <c r="F30" s="221">
        <f>F53/I15*F15</f>
        <v>500</v>
      </c>
      <c r="G30" s="222">
        <f>F53/I15*G15</f>
        <v>500</v>
      </c>
      <c r="H30" s="222">
        <f>F53/I15*H15</f>
        <v>500</v>
      </c>
      <c r="I30" s="21">
        <f t="shared" ref="I30:I33" si="29">SUM(B30:H30)</f>
        <v>3000</v>
      </c>
      <c r="K30" s="149" t="s">
        <v>69</v>
      </c>
      <c r="L30" s="89">
        <f>F53*1.25</f>
        <v>3750</v>
      </c>
      <c r="M30" s="52" t="s">
        <v>94</v>
      </c>
    </row>
    <row r="31" spans="1:19">
      <c r="A31" s="5" t="s">
        <v>7</v>
      </c>
      <c r="B31" s="88">
        <v>0</v>
      </c>
      <c r="C31" s="101">
        <v>0</v>
      </c>
      <c r="D31" s="102">
        <v>0</v>
      </c>
      <c r="E31" s="103">
        <v>0</v>
      </c>
      <c r="F31" s="217">
        <v>0</v>
      </c>
      <c r="G31" s="104">
        <v>0</v>
      </c>
      <c r="H31" s="104">
        <v>0</v>
      </c>
      <c r="I31" s="21">
        <f>SUM(B31:H31)</f>
        <v>0</v>
      </c>
      <c r="K31" s="18" t="s">
        <v>12</v>
      </c>
      <c r="L31" s="17">
        <f>I31*1.25</f>
        <v>0</v>
      </c>
    </row>
    <row r="32" spans="1:19">
      <c r="A32" s="5" t="s">
        <v>22</v>
      </c>
      <c r="B32" s="88">
        <v>0</v>
      </c>
      <c r="C32" s="101">
        <v>0</v>
      </c>
      <c r="D32" s="102">
        <v>0</v>
      </c>
      <c r="E32" s="103">
        <v>0</v>
      </c>
      <c r="F32" s="217">
        <v>0</v>
      </c>
      <c r="G32" s="104">
        <v>0</v>
      </c>
      <c r="H32" s="104">
        <v>0</v>
      </c>
      <c r="I32" s="21">
        <f>SUM(B32:H32)</f>
        <v>0</v>
      </c>
      <c r="K32" s="18" t="s">
        <v>11</v>
      </c>
      <c r="L32" s="17">
        <f>I32*1.25</f>
        <v>0</v>
      </c>
    </row>
    <row r="33" spans="1:22">
      <c r="A33" s="195" t="s">
        <v>82</v>
      </c>
      <c r="B33" s="196">
        <v>0</v>
      </c>
      <c r="C33" s="197">
        <v>0</v>
      </c>
      <c r="D33" s="198">
        <v>0</v>
      </c>
      <c r="E33" s="199">
        <v>0</v>
      </c>
      <c r="F33" s="218">
        <v>0</v>
      </c>
      <c r="G33" s="200">
        <v>0</v>
      </c>
      <c r="H33" s="200">
        <v>0</v>
      </c>
      <c r="I33" s="21">
        <f t="shared" si="29"/>
        <v>0</v>
      </c>
      <c r="K33" s="18" t="s">
        <v>45</v>
      </c>
      <c r="L33" s="17">
        <f>I33*1.25</f>
        <v>0</v>
      </c>
      <c r="U33" s="51">
        <f>I26+I29+I30+I31+I32+I33+I35</f>
        <v>577651.49330832192</v>
      </c>
    </row>
    <row r="34" spans="1:22" ht="21.75" thickBot="1">
      <c r="A34" s="189" t="s">
        <v>95</v>
      </c>
      <c r="B34" s="190"/>
      <c r="C34" s="191"/>
      <c r="D34" s="192"/>
      <c r="E34" s="193"/>
      <c r="F34" s="191"/>
      <c r="G34" s="194"/>
      <c r="H34" s="194"/>
      <c r="I34" s="21">
        <f>V34</f>
        <v>7220.6436663540244</v>
      </c>
      <c r="K34" s="18" t="s">
        <v>98</v>
      </c>
      <c r="L34" s="17">
        <f>I34*1.25</f>
        <v>9025.80458294253</v>
      </c>
      <c r="M34" s="201" t="s">
        <v>105</v>
      </c>
      <c r="N34" s="201"/>
      <c r="O34" s="201"/>
      <c r="P34" s="201"/>
      <c r="Q34" s="201"/>
      <c r="R34" s="201"/>
      <c r="S34" s="201"/>
      <c r="T34" s="201"/>
      <c r="U34" s="204">
        <f>SUM(I26,I29,I30,I31,I32,I33)*0.25+SUM(I26,I29,I30,I31,I32,I33,I35)</f>
        <v>717689.36663540243</v>
      </c>
      <c r="V34" s="205">
        <f>IF(U34 &gt;= 430000,U33*1.25%,U33*0%)</f>
        <v>7220.6436663540244</v>
      </c>
    </row>
    <row r="35" spans="1:22" ht="21.75" thickBot="1">
      <c r="A35" s="172" t="s">
        <v>96</v>
      </c>
      <c r="B35" s="187">
        <v>2500</v>
      </c>
      <c r="C35" s="187">
        <v>2500</v>
      </c>
      <c r="D35" s="187">
        <v>2500</v>
      </c>
      <c r="E35" s="187">
        <v>2500</v>
      </c>
      <c r="F35" s="187">
        <v>2500</v>
      </c>
      <c r="G35" s="187">
        <v>2500</v>
      </c>
      <c r="H35" s="187">
        <v>2500</v>
      </c>
      <c r="I35" s="188">
        <f>SUM(B35:H35)</f>
        <v>17500</v>
      </c>
      <c r="K35" s="173" t="s">
        <v>99</v>
      </c>
      <c r="L35" s="127">
        <f>SUM(I35)</f>
        <v>17500</v>
      </c>
      <c r="M35" s="182" t="s">
        <v>93</v>
      </c>
    </row>
    <row r="36" spans="1:22" ht="15.6" customHeight="1" thickTop="1" thickBot="1">
      <c r="A36" s="56"/>
      <c r="B36" s="62">
        <f t="shared" ref="B36:G36" si="30">SUM(B29:B35)</f>
        <v>2500</v>
      </c>
      <c r="C36" s="62">
        <f t="shared" si="30"/>
        <v>3000</v>
      </c>
      <c r="D36" s="62">
        <f t="shared" si="30"/>
        <v>3000</v>
      </c>
      <c r="E36" s="62">
        <f t="shared" si="30"/>
        <v>3000</v>
      </c>
      <c r="F36" s="62">
        <f t="shared" si="30"/>
        <v>3000</v>
      </c>
      <c r="G36" s="62">
        <f t="shared" si="30"/>
        <v>3000</v>
      </c>
      <c r="H36" s="62">
        <f t="shared" ref="H36" si="31">SUM(H29:H35)</f>
        <v>3000</v>
      </c>
      <c r="I36" s="16">
        <f>SUM(I29:I35)</f>
        <v>27720.643666354023</v>
      </c>
      <c r="K36" s="19" t="s">
        <v>15</v>
      </c>
      <c r="L36" s="31">
        <f>SUM(L29:L35)</f>
        <v>30275.804582942532</v>
      </c>
      <c r="M36" s="4"/>
    </row>
    <row r="37" spans="1:22" ht="9.6" customHeight="1" thickTop="1" thickBot="1">
      <c r="A37" s="14"/>
      <c r="B37" s="15"/>
      <c r="C37" s="15"/>
      <c r="D37" s="15"/>
      <c r="E37" s="15"/>
      <c r="F37" s="15"/>
      <c r="G37" s="15"/>
      <c r="H37" s="15"/>
      <c r="I37" s="74"/>
    </row>
    <row r="38" spans="1:22" ht="18.600000000000001" customHeight="1" thickTop="1" thickBot="1">
      <c r="A38" s="203" t="s">
        <v>40</v>
      </c>
      <c r="B38" s="108">
        <f>SUM(B26,B29:B35)</f>
        <v>2500</v>
      </c>
      <c r="C38" s="108">
        <f>SUM(C26,C29:C35)</f>
        <v>84911.001900000017</v>
      </c>
      <c r="D38" s="108">
        <f t="shared" ref="D38:G38" si="32">SUM(D26,D29:D35)</f>
        <v>89006.551995000002</v>
      </c>
      <c r="E38" s="108">
        <f t="shared" si="32"/>
        <v>93306.879594750004</v>
      </c>
      <c r="F38" s="108">
        <f t="shared" si="32"/>
        <v>97822.223574487507</v>
      </c>
      <c r="G38" s="108">
        <f t="shared" si="32"/>
        <v>102563.33475321188</v>
      </c>
      <c r="H38" s="108">
        <f t="shared" ref="H38" si="33">SUM(H26,H29:H35)</f>
        <v>107541.50149087248</v>
      </c>
      <c r="I38" s="110">
        <f>SUM(I26,I36)</f>
        <v>584872.13697467593</v>
      </c>
    </row>
    <row r="39" spans="1:22" ht="12.6" customHeight="1" thickTop="1" thickBot="1">
      <c r="A39" s="57"/>
      <c r="I39" s="75"/>
    </row>
    <row r="40" spans="1:22" ht="21.6" customHeight="1" thickTop="1" thickBot="1">
      <c r="A40" s="107" t="s">
        <v>14</v>
      </c>
      <c r="B40" s="108">
        <f>SUM(B38-B35)*$A$41</f>
        <v>0</v>
      </c>
      <c r="C40" s="108">
        <f t="shared" ref="C40:G40" si="34">SUM(C38-C35)*$A$41</f>
        <v>20602.750475000004</v>
      </c>
      <c r="D40" s="108">
        <f t="shared" si="34"/>
        <v>21626.63799875</v>
      </c>
      <c r="E40" s="108">
        <f t="shared" si="34"/>
        <v>22701.719898687501</v>
      </c>
      <c r="F40" s="108">
        <f t="shared" si="34"/>
        <v>23830.555893621877</v>
      </c>
      <c r="G40" s="108">
        <f t="shared" si="34"/>
        <v>25015.83368830297</v>
      </c>
      <c r="H40" s="108">
        <f t="shared" ref="H40" si="35">SUM(H38-H35)*$A$41</f>
        <v>26260.375372718121</v>
      </c>
      <c r="I40" s="109">
        <f>SUM(B40:H40)+(I34*25%)</f>
        <v>141843.03424366898</v>
      </c>
    </row>
    <row r="41" spans="1:22" ht="16.5" thickTop="1" thickBot="1">
      <c r="A41" s="171">
        <f>D12</f>
        <v>0.25</v>
      </c>
      <c r="I41" s="76"/>
    </row>
    <row r="42" spans="1:22" ht="57" customHeight="1" thickTop="1" thickBot="1">
      <c r="A42" s="183" t="s">
        <v>41</v>
      </c>
      <c r="B42" s="184">
        <f>SUM(B38,B40)</f>
        <v>2500</v>
      </c>
      <c r="C42" s="185">
        <f t="shared" ref="C42:G42" si="36">SUM(C38,C40)</f>
        <v>105513.75237500003</v>
      </c>
      <c r="D42" s="185">
        <f t="shared" si="36"/>
        <v>110633.18999375</v>
      </c>
      <c r="E42" s="186">
        <f t="shared" si="36"/>
        <v>116008.5994934375</v>
      </c>
      <c r="F42" s="184">
        <f>SUM(F38,F40)</f>
        <v>121652.77946810938</v>
      </c>
      <c r="G42" s="185">
        <f t="shared" si="36"/>
        <v>127579.16844151485</v>
      </c>
      <c r="H42" s="185">
        <f t="shared" ref="H42" si="37">SUM(H38,H40)</f>
        <v>133801.87686359062</v>
      </c>
      <c r="I42" s="110">
        <f>SUM(I38,I40)</f>
        <v>726715.17121834494</v>
      </c>
      <c r="K42" s="111" t="s">
        <v>79</v>
      </c>
      <c r="L42" s="105"/>
      <c r="M42" s="112" t="s">
        <v>49</v>
      </c>
    </row>
    <row r="43" spans="1:22" ht="17.25" thickTop="1" thickBot="1">
      <c r="I43" s="51"/>
      <c r="K43" s="113">
        <f>(AVERAGE(I18)/I15+AVERAGE(I19)/I15+AVERAGE(I20)/I15+AVERAGE(I21)/I15+AVERAGE(I22)/I15+AVERAGE(I23)/I15+AVERAGE(I24)/I15+AVERAGE(I25)/I15)/Q11</f>
        <v>8145.4896682503204</v>
      </c>
      <c r="L43" s="106"/>
      <c r="M43" s="114">
        <f>SUM(R11)</f>
        <v>68.399999999999991</v>
      </c>
    </row>
    <row r="44" spans="1:22" ht="15.75" thickTop="1">
      <c r="I44" s="51"/>
      <c r="K44" s="42"/>
    </row>
    <row r="45" spans="1:22">
      <c r="H45" s="20"/>
      <c r="I45" s="51"/>
      <c r="J45" s="42"/>
    </row>
    <row r="46" spans="1:22" ht="21.75" thickBot="1">
      <c r="A46" s="145" t="s">
        <v>81</v>
      </c>
      <c r="B46" s="133"/>
      <c r="C46" s="40"/>
      <c r="D46" s="40"/>
      <c r="E46" s="40"/>
      <c r="F46" s="40"/>
      <c r="G46" s="40"/>
      <c r="H46" s="43"/>
      <c r="I46" s="202"/>
      <c r="J46" s="41"/>
      <c r="K46" s="20"/>
    </row>
    <row r="47" spans="1:22" ht="15.75" thickTop="1">
      <c r="A47" s="45"/>
      <c r="B47" s="158" t="s">
        <v>33</v>
      </c>
      <c r="C47" s="157" t="s">
        <v>72</v>
      </c>
      <c r="D47" s="53" t="s">
        <v>34</v>
      </c>
      <c r="E47" s="163" t="s">
        <v>37</v>
      </c>
      <c r="F47" s="53" t="s">
        <v>35</v>
      </c>
      <c r="G47" s="54" t="s">
        <v>36</v>
      </c>
      <c r="H47" s="43"/>
      <c r="I47" s="43"/>
      <c r="J47" s="42"/>
    </row>
    <row r="48" spans="1:22" ht="15" customHeight="1">
      <c r="A48" s="46" t="s">
        <v>28</v>
      </c>
      <c r="B48" s="159">
        <v>1500</v>
      </c>
      <c r="C48" s="160">
        <v>4</v>
      </c>
      <c r="D48" s="180">
        <f>IF(B48&lt;=0, ,B48/C48)</f>
        <v>375</v>
      </c>
      <c r="E48" s="164">
        <f>SUM(I15)/12</f>
        <v>6</v>
      </c>
      <c r="F48" s="165">
        <f>IF(C48&gt;E48,B48-(C48-E48)*D48,IF(C48&lt;E48,D48*C48,C48*D48))</f>
        <v>1500</v>
      </c>
      <c r="G48" s="166">
        <f>F48-B48</f>
        <v>0</v>
      </c>
      <c r="H48" s="43"/>
      <c r="I48" s="220"/>
      <c r="J48" s="220"/>
      <c r="K48" s="220"/>
      <c r="L48" s="220"/>
      <c r="M48" s="220"/>
    </row>
    <row r="49" spans="1:11">
      <c r="A49" s="46" t="s">
        <v>29</v>
      </c>
      <c r="B49" s="159">
        <v>1500</v>
      </c>
      <c r="C49" s="160">
        <v>4</v>
      </c>
      <c r="D49" s="180">
        <f>IF(B49&lt;=0, ,B49/C49)</f>
        <v>375</v>
      </c>
      <c r="E49" s="164">
        <f>SUM(I15)/12</f>
        <v>6</v>
      </c>
      <c r="F49" s="165">
        <f>IF(C49&gt;E49,B49-(C49-E49)*D49,IF(C49&lt;E49,D49*C49,C49*D49))</f>
        <v>1500</v>
      </c>
      <c r="G49" s="166">
        <f>F49-B49</f>
        <v>0</v>
      </c>
      <c r="H49" s="20"/>
      <c r="I49" s="43"/>
      <c r="J49" s="43"/>
    </row>
    <row r="50" spans="1:11">
      <c r="A50" s="46" t="s">
        <v>30</v>
      </c>
      <c r="B50" s="159">
        <v>0</v>
      </c>
      <c r="C50" s="160">
        <v>10</v>
      </c>
      <c r="D50" s="180">
        <f>IF(B50&lt;=0, ,B50/C50)</f>
        <v>0</v>
      </c>
      <c r="E50" s="164">
        <f>SUM(I15)/12</f>
        <v>6</v>
      </c>
      <c r="F50" s="165">
        <f>IF(C50&gt;E50,B50-(C50-E50)*D50,IF(C50&lt;E50,D50*C50,C50*D50))</f>
        <v>0</v>
      </c>
      <c r="G50" s="166">
        <f>F50-B50</f>
        <v>0</v>
      </c>
      <c r="H50" s="20"/>
      <c r="I50" s="20"/>
      <c r="J50" s="43"/>
    </row>
    <row r="51" spans="1:11">
      <c r="A51" s="46" t="s">
        <v>31</v>
      </c>
      <c r="B51" s="159">
        <v>0</v>
      </c>
      <c r="C51" s="160">
        <v>0</v>
      </c>
      <c r="D51" s="180">
        <f>IF(B51&lt;=0, ,B51/C51)</f>
        <v>0</v>
      </c>
      <c r="E51" s="164">
        <f>SUM(I15)/12</f>
        <v>6</v>
      </c>
      <c r="F51" s="165">
        <f>IF(C51&gt;E51,B51-(C51-E51)*D51,IF(C51&lt;E51,D51*C51,C51*D51))</f>
        <v>0</v>
      </c>
      <c r="G51" s="166">
        <f>F51-B51</f>
        <v>0</v>
      </c>
      <c r="H51" s="20"/>
      <c r="I51" s="20"/>
      <c r="J51" s="43"/>
    </row>
    <row r="52" spans="1:11" ht="15.75" thickBot="1">
      <c r="A52" s="46" t="s">
        <v>32</v>
      </c>
      <c r="B52" s="161">
        <v>0</v>
      </c>
      <c r="C52" s="162">
        <v>0</v>
      </c>
      <c r="D52" s="181">
        <f>IF(B52&lt;=0, ,B52/C52)</f>
        <v>0</v>
      </c>
      <c r="E52" s="164">
        <f>SUM(I15)/12</f>
        <v>6</v>
      </c>
      <c r="F52" s="165">
        <f>IF(C52&gt;E52,B52-(C52-E52)*D52,IF(C52&lt;E52,D52*C52,C52*D52))</f>
        <v>0</v>
      </c>
      <c r="G52" s="166">
        <f>F52-B52</f>
        <v>0</v>
      </c>
      <c r="I52" s="20"/>
      <c r="J52" s="43"/>
    </row>
    <row r="53" spans="1:11" ht="15.75" thickBot="1">
      <c r="A53" s="47"/>
      <c r="B53" s="48">
        <f>SUM(B48:B52)</f>
        <v>3000</v>
      </c>
      <c r="C53" s="219">
        <f>SUM(C48:C52)</f>
        <v>18</v>
      </c>
      <c r="D53" s="50">
        <f>SUM(D48:D52)</f>
        <v>750</v>
      </c>
      <c r="E53" s="49"/>
      <c r="F53" s="167">
        <f>SUM(F48:F52)</f>
        <v>3000</v>
      </c>
      <c r="G53" s="168">
        <f>SUM(G48:G52)</f>
        <v>0</v>
      </c>
      <c r="J53" s="20"/>
    </row>
    <row r="54" spans="1:11" ht="15.75" thickTop="1">
      <c r="K54" s="20"/>
    </row>
    <row r="55" spans="1:11">
      <c r="K55" s="20"/>
    </row>
    <row r="56" spans="1:11">
      <c r="A56" s="83" t="s">
        <v>71</v>
      </c>
      <c r="B56" s="1"/>
    </row>
    <row r="57" spans="1:11">
      <c r="A57" t="s">
        <v>67</v>
      </c>
      <c r="D57" t="s">
        <v>74</v>
      </c>
    </row>
    <row r="58" spans="1:11">
      <c r="A58" t="s">
        <v>64</v>
      </c>
      <c r="D58" t="s">
        <v>75</v>
      </c>
    </row>
    <row r="59" spans="1:11">
      <c r="A59" t="s">
        <v>65</v>
      </c>
      <c r="D59" t="s">
        <v>76</v>
      </c>
    </row>
    <row r="60" spans="1:11">
      <c r="A60" t="s">
        <v>66</v>
      </c>
      <c r="D60" t="s">
        <v>77</v>
      </c>
    </row>
  </sheetData>
  <conditionalFormatting sqref="G48:G52">
    <cfRule type="cellIs" dxfId="1" priority="2" operator="lessThan">
      <formula>0</formula>
    </cfRule>
  </conditionalFormatting>
  <conditionalFormatting sqref="G53">
    <cfRule type="cellIs" dxfId="0" priority="1" operator="lessThan">
      <formula>0</formula>
    </cfRule>
  </conditionalFormatting>
  <hyperlinks>
    <hyperlink ref="I5" r:id="rId1"/>
    <hyperlink ref="I2" r:id="rId2" display="*Personalkosten (PK), FTE = full-time equivalent, 2016 *KV-Sätze: "/>
    <hyperlink ref="J14" r:id="rId3"/>
  </hyperlinks>
  <pageMargins left="0.7" right="0.7" top="0.78740157499999996" bottom="0.78740157499999996" header="0.3" footer="0.3"/>
  <pageSetup paperSize="9" orientation="portrait" r:id="rId4"/>
  <ignoredErrors>
    <ignoredError sqref="F48" evalError="1"/>
  </ignoredErrors>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O9"/>
  <sheetViews>
    <sheetView workbookViewId="0">
      <selection activeCell="P10" sqref="P10"/>
    </sheetView>
  </sheetViews>
  <sheetFormatPr baseColWidth="10" defaultColWidth="11.42578125" defaultRowHeight="15"/>
  <cols>
    <col min="2" max="2" width="16.42578125" customWidth="1"/>
    <col min="7" max="7" width="11.42578125" customWidth="1"/>
    <col min="8" max="8" width="11.140625" customWidth="1"/>
    <col min="9" max="9" width="16.28515625" hidden="1" customWidth="1"/>
    <col min="10" max="15" width="11.42578125" hidden="1" customWidth="1"/>
  </cols>
  <sheetData>
    <row r="1" spans="1:15" ht="18.75">
      <c r="A1" s="115" t="s">
        <v>61</v>
      </c>
      <c r="B1" s="116"/>
    </row>
    <row r="3" spans="1:15">
      <c r="A3" s="117" t="s">
        <v>50</v>
      </c>
      <c r="B3" s="126" t="s">
        <v>51</v>
      </c>
      <c r="C3" s="123"/>
      <c r="D3" s="123" t="s">
        <v>62</v>
      </c>
      <c r="E3" s="124"/>
      <c r="J3" t="s">
        <v>59</v>
      </c>
      <c r="K3" t="s">
        <v>53</v>
      </c>
      <c r="L3" t="s">
        <v>54</v>
      </c>
      <c r="M3" t="s">
        <v>55</v>
      </c>
      <c r="N3" t="s">
        <v>58</v>
      </c>
    </row>
    <row r="4" spans="1:15">
      <c r="A4" s="117" t="s">
        <v>63</v>
      </c>
      <c r="B4" s="122">
        <f>SUM('Uni Wien interne Kalkulation'!I40)</f>
        <v>141843.03424366898</v>
      </c>
      <c r="C4" s="125"/>
      <c r="D4" s="123"/>
      <c r="E4" s="228"/>
      <c r="I4" t="s">
        <v>57</v>
      </c>
      <c r="J4" s="98">
        <v>0.12</v>
      </c>
      <c r="K4" s="98">
        <v>0.34</v>
      </c>
      <c r="L4" s="98">
        <v>0.34</v>
      </c>
      <c r="M4" s="98">
        <v>0</v>
      </c>
      <c r="N4" s="99">
        <v>0.2</v>
      </c>
      <c r="O4" s="98">
        <f>SUM(J4:N4)</f>
        <v>1</v>
      </c>
    </row>
    <row r="5" spans="1:15">
      <c r="E5" s="229"/>
      <c r="F5" s="229"/>
      <c r="G5" s="229"/>
      <c r="I5" t="s">
        <v>51</v>
      </c>
      <c r="J5" s="98">
        <v>0.12</v>
      </c>
      <c r="K5" s="98">
        <v>0.34</v>
      </c>
      <c r="L5" s="98">
        <v>0.22</v>
      </c>
      <c r="M5" s="98">
        <v>0.12</v>
      </c>
      <c r="N5" s="99">
        <v>0.2</v>
      </c>
      <c r="O5" s="98">
        <f>SUM(J5:N5)</f>
        <v>1</v>
      </c>
    </row>
    <row r="6" spans="1:15">
      <c r="A6" s="118" t="s">
        <v>52</v>
      </c>
      <c r="B6" s="119" t="s">
        <v>54</v>
      </c>
      <c r="C6" s="119" t="s">
        <v>104</v>
      </c>
      <c r="E6" s="229"/>
      <c r="F6" s="230"/>
      <c r="G6" s="229"/>
    </row>
    <row r="7" spans="1:15">
      <c r="A7" s="44" t="s">
        <v>56</v>
      </c>
      <c r="B7" s="120">
        <v>0.5</v>
      </c>
      <c r="C7" s="120">
        <v>0.5</v>
      </c>
      <c r="E7" s="229"/>
      <c r="F7" s="231"/>
      <c r="G7" s="229"/>
    </row>
    <row r="8" spans="1:15">
      <c r="A8" s="117" t="s">
        <v>60</v>
      </c>
      <c r="B8" s="121">
        <f>$B$4*B7</f>
        <v>70921.517121834491</v>
      </c>
      <c r="C8" s="121">
        <f>$B$4*C7</f>
        <v>70921.517121834491</v>
      </c>
      <c r="E8" s="229"/>
      <c r="F8" s="232"/>
      <c r="G8" s="229"/>
      <c r="H8" s="51"/>
      <c r="J8" s="98"/>
      <c r="K8" s="98"/>
      <c r="L8" s="98"/>
      <c r="M8" s="98"/>
      <c r="N8" s="98"/>
    </row>
    <row r="9" spans="1:15">
      <c r="E9" s="229"/>
      <c r="F9" s="229"/>
      <c r="G9" s="229"/>
    </row>
  </sheetData>
  <dataValidations count="1">
    <dataValidation type="list" showInputMessage="1" showErrorMessage="1" sqref="B3">
      <formula1>$I$4:$I$5</formula1>
    </dataValidation>
  </dataValidation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N16"/>
  <sheetViews>
    <sheetView workbookViewId="0">
      <selection sqref="A1:F12"/>
    </sheetView>
  </sheetViews>
  <sheetFormatPr baseColWidth="10" defaultColWidth="11.42578125" defaultRowHeight="15"/>
  <cols>
    <col min="2" max="2" width="9.28515625" bestFit="1" customWidth="1"/>
    <col min="3" max="3" width="7" customWidth="1"/>
    <col min="4" max="4" width="4.42578125" bestFit="1" customWidth="1"/>
    <col min="5" max="5" width="2.7109375" bestFit="1" customWidth="1"/>
    <col min="6" max="6" width="17.42578125" bestFit="1" customWidth="1"/>
    <col min="7" max="7" width="2.7109375" bestFit="1" customWidth="1"/>
  </cols>
  <sheetData>
    <row r="1" spans="1:14">
      <c r="A1" s="22" t="s">
        <v>16</v>
      </c>
    </row>
    <row r="2" spans="1:14">
      <c r="A2" s="22"/>
      <c r="B2" s="22"/>
      <c r="C2" s="22"/>
      <c r="D2" s="22">
        <v>2014</v>
      </c>
      <c r="E2" s="22" t="e">
        <f>IF(D2=A5,C7,IF(A5=D2, IF(B4&gt;12,12,C7),0))</f>
        <v>#REF!</v>
      </c>
      <c r="I2" s="22"/>
      <c r="J2" s="22"/>
      <c r="K2" s="22"/>
      <c r="L2" s="22"/>
      <c r="M2" s="22"/>
      <c r="N2" s="22"/>
    </row>
    <row r="3" spans="1:14">
      <c r="A3" s="22" t="s">
        <v>17</v>
      </c>
      <c r="B3" s="22" t="s">
        <v>18</v>
      </c>
      <c r="C3" s="22"/>
      <c r="D3" s="22">
        <v>2015</v>
      </c>
      <c r="E3" s="22" t="e">
        <f>IF(D3&gt;=A5, IF(D3=A5,C7, IF(B4-E2&gt;0,IF(B4-E2&gt;12,12, B4-E2),0)),0)</f>
        <v>#REF!</v>
      </c>
      <c r="I3" s="22"/>
      <c r="J3" s="22"/>
      <c r="K3" s="22"/>
      <c r="L3" s="22"/>
      <c r="M3" s="22"/>
      <c r="N3" s="22"/>
    </row>
    <row r="4" spans="1:14">
      <c r="A4" s="22" t="e">
        <f>DATEDIF('Uni Wien interne Kalkulation'!#REF!,'Uni Wien interne Kalkulation'!F12,"m")</f>
        <v>#REF!</v>
      </c>
      <c r="B4" s="22" t="e">
        <f>IF(D11=0,A4+1,A4)</f>
        <v>#REF!</v>
      </c>
      <c r="C4" s="22"/>
      <c r="D4" s="22">
        <v>2016</v>
      </c>
      <c r="E4" s="22" t="e">
        <f>IF(D4&gt;=A5, IF(A5=D4,C7, IF(B4-E3-E2&gt;0,IF(B4-E3-E2&gt;12,12,B4-E3-E2),0)),0)</f>
        <v>#REF!</v>
      </c>
      <c r="I4" s="22"/>
      <c r="J4" s="22"/>
      <c r="K4" s="22"/>
      <c r="L4" s="22"/>
      <c r="M4" s="22"/>
      <c r="N4" s="22"/>
    </row>
    <row r="5" spans="1:14">
      <c r="A5" s="22" t="e">
        <f>YEAR('Uni Wien interne Kalkulation'!#REF!)</f>
        <v>#REF!</v>
      </c>
      <c r="B5" s="22"/>
      <c r="C5" s="22"/>
      <c r="D5" s="22">
        <v>2017</v>
      </c>
      <c r="E5" s="22" t="e">
        <f>IF(D5&gt;=A5,IF(D5=A5,C7,IF(B4-E4-E3-E2&gt;0,IF(B4-E4-E3-E2&gt;12,12, B4-E4-E3-E2),0)),0)</f>
        <v>#REF!</v>
      </c>
      <c r="I5" s="22"/>
      <c r="J5" s="22"/>
      <c r="K5" s="22"/>
      <c r="L5" s="22"/>
      <c r="M5" s="22"/>
      <c r="N5" s="22"/>
    </row>
    <row r="6" spans="1:14">
      <c r="A6" s="22" t="e">
        <f>MONTH('Uni Wien interne Kalkulation'!#REF!)</f>
        <v>#REF!</v>
      </c>
      <c r="B6" s="22"/>
      <c r="C6" s="22"/>
      <c r="D6" s="23">
        <v>2018</v>
      </c>
      <c r="E6" s="23" t="e">
        <f>IF(D6&gt;=A5,IF(D6=A5,C7,IF(B4-E5-E4-E3-E2&gt;0, IF(B4-E5-E4-E3-E2&gt;12,12, B4-E5-E4-E3-E2),0)),0)</f>
        <v>#REF!</v>
      </c>
      <c r="I6" s="22"/>
      <c r="J6" s="22"/>
      <c r="K6" s="22"/>
      <c r="L6" s="22"/>
      <c r="M6" s="22"/>
      <c r="N6" s="22"/>
    </row>
    <row r="7" spans="1:14">
      <c r="A7" t="s">
        <v>19</v>
      </c>
      <c r="C7" t="e">
        <f>IF(A4&gt;12,(12-A6)+1,IF(YEAR('Uni Wien interne Kalkulation'!#REF!)=YEAR('Uni Wien interne Kalkulation'!F12),MONTH('Uni Wien interne Kalkulation'!F12)-MONTH('Uni Wien interne Kalkulation'!#REF!)+1,B4))</f>
        <v>#REF!</v>
      </c>
      <c r="E7" t="e">
        <f>SUM(E2:E6)</f>
        <v>#REF!</v>
      </c>
      <c r="F7" t="s">
        <v>20</v>
      </c>
      <c r="I7" s="22"/>
      <c r="J7" s="22"/>
      <c r="K7" s="22"/>
      <c r="L7" s="22"/>
      <c r="M7" s="22"/>
      <c r="N7" s="22"/>
    </row>
    <row r="8" spans="1:14">
      <c r="A8" t="s">
        <v>21</v>
      </c>
      <c r="I8" s="22"/>
      <c r="J8" s="22"/>
      <c r="K8" s="22"/>
      <c r="L8" s="22"/>
      <c r="M8" s="22"/>
      <c r="N8" s="22"/>
    </row>
    <row r="9" spans="1:14">
      <c r="A9" t="e">
        <f>_xlfn.DAYS('Uni Wien interne Kalkulation'!F12,'Uni Wien interne Kalkulation'!#REF!)</f>
        <v>#REF!</v>
      </c>
      <c r="B9" t="e">
        <f>DAY('Uni Wien interne Kalkulation'!#REF!)</f>
        <v>#REF!</v>
      </c>
      <c r="C9" t="e">
        <f>MONTH('Uni Wien interne Kalkulation'!#REF!)</f>
        <v>#REF!</v>
      </c>
      <c r="I9" s="22"/>
      <c r="J9" s="22"/>
      <c r="K9" s="22"/>
      <c r="L9" s="22"/>
      <c r="M9" s="22"/>
      <c r="N9" s="22"/>
    </row>
    <row r="10" spans="1:14">
      <c r="B10">
        <f>DAY('Uni Wien interne Kalkulation'!F12)</f>
        <v>0</v>
      </c>
      <c r="C10">
        <f>MONTH('Uni Wien interne Kalkulation'!F12)</f>
        <v>1</v>
      </c>
      <c r="I10" s="22"/>
      <c r="J10" s="22"/>
      <c r="K10" s="22"/>
      <c r="L10" s="22"/>
      <c r="M10" s="22"/>
      <c r="N10" s="22"/>
    </row>
    <row r="11" spans="1:14">
      <c r="B11" t="e">
        <f>IF(B9=B10,1,0)</f>
        <v>#REF!</v>
      </c>
      <c r="C11" t="e">
        <f>IF(C9=C10,1,0)</f>
        <v>#REF!</v>
      </c>
      <c r="D11" t="e">
        <f>IF(AND(B11=1,C11=1),1,IF(AND(B11=1,C11=0),2,0))</f>
        <v>#REF!</v>
      </c>
      <c r="F11" s="24">
        <v>42004</v>
      </c>
      <c r="I11" s="22"/>
      <c r="J11" s="22"/>
      <c r="K11" s="22"/>
      <c r="L11" s="22"/>
      <c r="M11" s="22"/>
      <c r="N11" s="22"/>
    </row>
    <row r="12" spans="1:14">
      <c r="F12" s="24">
        <v>42050</v>
      </c>
      <c r="I12" s="22"/>
      <c r="J12" s="22"/>
      <c r="K12" s="22"/>
      <c r="L12" s="22"/>
      <c r="M12" s="22"/>
      <c r="N12" s="22"/>
    </row>
    <row r="13" spans="1:14">
      <c r="I13" s="22"/>
      <c r="J13" s="22"/>
      <c r="K13" s="22"/>
      <c r="L13" s="22"/>
      <c r="M13" s="22"/>
      <c r="N13" s="22"/>
    </row>
    <row r="14" spans="1:14">
      <c r="I14" s="22"/>
      <c r="J14" s="22"/>
      <c r="K14" s="22"/>
      <c r="L14" s="22"/>
      <c r="M14" s="22"/>
      <c r="N14" s="22"/>
    </row>
    <row r="15" spans="1:14">
      <c r="A15" s="22"/>
      <c r="B15" s="22"/>
      <c r="C15" s="22"/>
      <c r="D15" s="22"/>
      <c r="E15" s="22"/>
      <c r="F15" s="22"/>
      <c r="G15" s="22"/>
      <c r="H15" s="22"/>
      <c r="I15" s="22"/>
      <c r="J15" s="22"/>
      <c r="K15" s="22"/>
      <c r="L15" s="22"/>
      <c r="M15" s="22"/>
      <c r="N15" s="22"/>
    </row>
    <row r="16" spans="1:14">
      <c r="A16" s="22"/>
      <c r="B16" s="22"/>
      <c r="C16" s="22"/>
      <c r="D16" s="22"/>
      <c r="E16" s="22"/>
      <c r="F16" s="22"/>
      <c r="G16" s="22"/>
      <c r="H16" s="22"/>
      <c r="I16" s="22"/>
      <c r="J16" s="22"/>
      <c r="K16" s="22"/>
      <c r="L16" s="22"/>
      <c r="M16" s="22"/>
      <c r="N16" s="22"/>
    </row>
  </sheetData>
  <sheetProtection algorithmName="SHA-512" hashValue="z0afeAbV5e7oe9EVjgGe/h4pdlZY3zHnLIdsOGS22rdt13dHcCtKl5cE7vmKD3qIL2NcR+b3hcvD10jdA0Nf8Q==" saltValue="6l3TmxmcwssoAB+fBQzgUQ==" spinCount="100000" sheet="1" objects="1" scenarios="1" formatCells="0" formatColumns="0" formatRows="0" insertColumns="0" insertRows="0" insertHyperlinks="0" deleteColumns="0" deleteRows="0" sort="0" autoFilter="0" pivotTables="0"/>
  <pageMargins left="0.7" right="0.7" top="0.78740157499999996" bottom="0.78740157499999996"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F13"/>
  <sheetViews>
    <sheetView workbookViewId="0">
      <selection activeCell="F14" sqref="F14"/>
    </sheetView>
  </sheetViews>
  <sheetFormatPr baseColWidth="10" defaultColWidth="11.42578125" defaultRowHeight="15"/>
  <sheetData>
    <row r="1" spans="1:6">
      <c r="A1" s="22" t="s">
        <v>16</v>
      </c>
    </row>
    <row r="2" spans="1:6">
      <c r="A2" s="22"/>
      <c r="B2" s="22"/>
      <c r="C2" s="22"/>
      <c r="D2" s="22">
        <v>2014</v>
      </c>
      <c r="E2" s="22" t="e">
        <f>IF(D2=A5,C8,IF(A5=D2, IF(B4&gt;12,12,C8),0))</f>
        <v>#REF!</v>
      </c>
    </row>
    <row r="3" spans="1:6">
      <c r="A3" s="22" t="s">
        <v>17</v>
      </c>
      <c r="B3" s="22" t="s">
        <v>18</v>
      </c>
      <c r="C3" s="22"/>
      <c r="D3" s="22">
        <v>2016</v>
      </c>
      <c r="E3" s="22" t="e">
        <f>IF(D3&gt;=A5, IF(D3=A5,C8, IF(B4-E2&gt;0,IF(B4-E2&gt;12,12, B4-E2),0)),0)</f>
        <v>#REF!</v>
      </c>
    </row>
    <row r="4" spans="1:6">
      <c r="A4" s="22" t="e">
        <f>DATEDIF('Uni Wien interne Kalkulation'!#REF!,'Uni Wien interne Kalkulation'!F12,"m")</f>
        <v>#REF!</v>
      </c>
      <c r="B4" s="22" t="e">
        <f>IF(D12=0,A4+1,A4)</f>
        <v>#REF!</v>
      </c>
      <c r="C4" s="22"/>
      <c r="D4" s="22">
        <v>2017</v>
      </c>
      <c r="E4" s="22" t="e">
        <f>IF(D4&gt;=A5, IF(A5=D4,C8, IF(B4-E3-E2&gt;0,IF(B4-E3-E2&gt;12,12,B4-E3-E2),0)),0)</f>
        <v>#REF!</v>
      </c>
    </row>
    <row r="5" spans="1:6">
      <c r="A5" s="22" t="e">
        <f>YEAR('Uni Wien interne Kalkulation'!#REF!)</f>
        <v>#REF!</v>
      </c>
      <c r="B5" s="22"/>
      <c r="C5" s="22"/>
      <c r="D5" s="100">
        <v>2018</v>
      </c>
      <c r="E5" s="100" t="e">
        <f>IF(D5&gt;=A5,IF(D5=A5,C8,IF(B4-E4-E3-E2&gt;0,IF(B4-E4-E3-E2&gt;12,12, B4-E4-E3-E2),0)),0)</f>
        <v>#REF!</v>
      </c>
    </row>
    <row r="6" spans="1:6">
      <c r="A6" s="22" t="e">
        <f>MONTH('Uni Wien interne Kalkulation'!#REF!)</f>
        <v>#REF!</v>
      </c>
      <c r="B6" s="22"/>
      <c r="C6" s="22"/>
      <c r="D6" s="100">
        <v>2019</v>
      </c>
      <c r="E6" s="100" t="e">
        <f>IF(D6&gt;=A5,IF(D6=A5,C8,IF(B4-E5-E4-E3-E2&gt;0, IF(B4-E5-E4-E3-E2&gt;12,12, B4-E5-E4-E3-E2),0)),0)</f>
        <v>#REF!</v>
      </c>
    </row>
    <row r="7" spans="1:6">
      <c r="A7" s="22"/>
      <c r="B7" s="22"/>
      <c r="C7" s="22"/>
      <c r="D7" s="100">
        <v>2020</v>
      </c>
      <c r="E7" s="100" t="e">
        <f>IF(D7&gt;=A5,IF(D7=A5,C8,IF(B4-E5-E4-E3-E2-E6&gt;0, IF(B4-E5-E4-E3-E2-E6&gt;12,12, B4-E5-E4-E3-E2-E6),0)),0)</f>
        <v>#REF!</v>
      </c>
    </row>
    <row r="8" spans="1:6">
      <c r="A8" t="s">
        <v>19</v>
      </c>
      <c r="C8" t="e">
        <f>IF(A4&gt;12,(12-A6)+1,IF(YEAR('Uni Wien interne Kalkulation'!#REF!)=YEAR('Uni Wien interne Kalkulation'!F12),MONTH('Uni Wien interne Kalkulation'!F12)-MONTH('Uni Wien interne Kalkulation'!#REF!)+1,B4))</f>
        <v>#REF!</v>
      </c>
      <c r="E8" t="e">
        <f>SUM(E2:E6)</f>
        <v>#REF!</v>
      </c>
      <c r="F8" t="s">
        <v>20</v>
      </c>
    </row>
    <row r="9" spans="1:6">
      <c r="A9" t="s">
        <v>21</v>
      </c>
    </row>
    <row r="10" spans="1:6">
      <c r="A10" t="e">
        <f>_xlfn.DAYS('Uni Wien interne Kalkulation'!F12,'Uni Wien interne Kalkulation'!#REF!)</f>
        <v>#REF!</v>
      </c>
      <c r="B10" t="e">
        <f>DAY('Uni Wien interne Kalkulation'!#REF!)</f>
        <v>#REF!</v>
      </c>
      <c r="C10" t="e">
        <f>MONTH('Uni Wien interne Kalkulation'!#REF!)</f>
        <v>#REF!</v>
      </c>
    </row>
    <row r="11" spans="1:6">
      <c r="B11">
        <f>DAY('Uni Wien interne Kalkulation'!F12)</f>
        <v>0</v>
      </c>
      <c r="C11">
        <f>MONTH('Uni Wien interne Kalkulation'!F12)</f>
        <v>1</v>
      </c>
    </row>
    <row r="12" spans="1:6">
      <c r="B12" t="e">
        <f>IF(B10=B11,1,0)</f>
        <v>#REF!</v>
      </c>
      <c r="C12" t="e">
        <f>IF(C10=C11,1,0)</f>
        <v>#REF!</v>
      </c>
      <c r="D12" t="e">
        <f>IF(AND(B12=1,C12=1),1,IF(AND(B12=1,C12=0),2,0))</f>
        <v>#REF!</v>
      </c>
      <c r="F12" s="24">
        <v>42004</v>
      </c>
    </row>
    <row r="13" spans="1:6">
      <c r="F13" s="24">
        <v>42050</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Uni Wien interne Kalkulation</vt:lpstr>
      <vt:lpstr>Uni Wien OvH Verteilung</vt:lpstr>
      <vt:lpstr>nebenrechnungen</vt:lpstr>
      <vt:lpstr>nr2</vt:lpstr>
    </vt:vector>
  </TitlesOfParts>
  <Company>Universitaet Wien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EU-Budget-Tool Universität Wien</dc:title>
  <dc:creator>zinnerl4;helmut.schaschl@univie.ac.at</dc:creator>
  <cp:lastModifiedBy>Angela Meyer</cp:lastModifiedBy>
  <cp:lastPrinted>2014-02-14T10:42:53Z</cp:lastPrinted>
  <dcterms:created xsi:type="dcterms:W3CDTF">2012-01-27T10:55:50Z</dcterms:created>
  <dcterms:modified xsi:type="dcterms:W3CDTF">2022-11-24T07:55:54Z</dcterms:modified>
</cp:coreProperties>
</file>