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Z:\Documents\Turoren Umschichtung\"/>
    </mc:Choice>
  </mc:AlternateContent>
  <xr:revisionPtr revIDLastSave="0" documentId="8_{222FA19D-B54C-4A81-9348-847A57CB0D16}" xr6:coauthVersionLast="47" xr6:coauthVersionMax="47" xr10:uidLastSave="{00000000-0000-0000-0000-000000000000}"/>
  <bookViews>
    <workbookView xWindow="-103" yWindow="-103" windowWidth="22149" windowHeight="11829" xr2:uid="{00000000-000D-0000-FFFF-FFFF00000000}"/>
  </bookViews>
  <sheets>
    <sheet name="Kostenplan" sheetId="2" r:id="rId1"/>
    <sheet name="KV-Gehälter pro PersGrp" sheetId="3" r:id="rId2"/>
  </sheets>
  <definedNames>
    <definedName name="_xlnm.Print_Area" localSheetId="0">Kostenplan!$A$2:$S$127</definedName>
    <definedName name="_xlnm.Print_Area" localSheetId="1">'KV-Gehälter pro PersGrp'!$A$1:$E$45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3" l="1"/>
  <c r="D37" i="3" l="1"/>
  <c r="D36" i="3"/>
  <c r="D35" i="3"/>
  <c r="D34" i="3"/>
  <c r="D33" i="3"/>
  <c r="D32" i="3"/>
  <c r="D31" i="3"/>
  <c r="D29" i="3"/>
  <c r="D28" i="3"/>
  <c r="D27" i="3"/>
  <c r="D26" i="3"/>
  <c r="D19" i="3"/>
  <c r="D9" i="3"/>
  <c r="E25" i="2"/>
  <c r="F28" i="2" s="1"/>
  <c r="D3" i="3"/>
  <c r="C13" i="2" s="1"/>
  <c r="F13" i="2" s="1"/>
  <c r="C23" i="2"/>
  <c r="F23" i="2" s="1"/>
  <c r="E4" i="3"/>
  <c r="D4" i="3"/>
  <c r="C55" i="2"/>
  <c r="F55" i="2"/>
  <c r="C54" i="2"/>
  <c r="C53" i="2"/>
  <c r="F53" i="2"/>
  <c r="C52" i="2"/>
  <c r="F52" i="2"/>
  <c r="C51" i="2"/>
  <c r="F51" i="2"/>
  <c r="C50" i="2"/>
  <c r="F50" i="2"/>
  <c r="C49" i="2"/>
  <c r="F49" i="2"/>
  <c r="C48" i="2"/>
  <c r="C47" i="2"/>
  <c r="C46" i="2"/>
  <c r="C45" i="2"/>
  <c r="C92" i="2"/>
  <c r="C104" i="2"/>
  <c r="C27" i="2"/>
  <c r="C86" i="2"/>
  <c r="F86" i="2" s="1"/>
  <c r="C85" i="2"/>
  <c r="L85" i="2" s="1"/>
  <c r="C84" i="2"/>
  <c r="F84" i="2" s="1"/>
  <c r="C83" i="2"/>
  <c r="I83" i="2" s="1"/>
  <c r="C82" i="2"/>
  <c r="F82" i="2" s="1"/>
  <c r="C81" i="2"/>
  <c r="F81" i="2" s="1"/>
  <c r="C80" i="2"/>
  <c r="F80" i="2" s="1"/>
  <c r="C79" i="2"/>
  <c r="F79" i="2" s="1"/>
  <c r="C78" i="2"/>
  <c r="F78" i="2"/>
  <c r="C77" i="2"/>
  <c r="F77" i="2" s="1"/>
  <c r="C76" i="2"/>
  <c r="F76" i="2" s="1"/>
  <c r="C75" i="2"/>
  <c r="F75" i="2" s="1"/>
  <c r="C74" i="2"/>
  <c r="F74" i="2"/>
  <c r="C73" i="2"/>
  <c r="F73" i="2"/>
  <c r="C72" i="2"/>
  <c r="F72" i="2" s="1"/>
  <c r="D30" i="3"/>
  <c r="C41" i="2" s="1"/>
  <c r="D13" i="3"/>
  <c r="R91" i="2"/>
  <c r="O91" i="2"/>
  <c r="L91" i="2"/>
  <c r="I91" i="2"/>
  <c r="F91" i="2"/>
  <c r="G132" i="2"/>
  <c r="G133" i="2"/>
  <c r="G134" i="2"/>
  <c r="C17" i="2"/>
  <c r="F17" i="2" s="1"/>
  <c r="G135" i="2"/>
  <c r="R47" i="2" s="1"/>
  <c r="C43" i="2"/>
  <c r="C71" i="2"/>
  <c r="F71" i="2" s="1"/>
  <c r="C70" i="2"/>
  <c r="I70" i="2" s="1"/>
  <c r="C69" i="2"/>
  <c r="F69" i="2" s="1"/>
  <c r="C68" i="2"/>
  <c r="F68" i="2" s="1"/>
  <c r="C67" i="2"/>
  <c r="F67" i="2"/>
  <c r="C40" i="2"/>
  <c r="F40" i="2" s="1"/>
  <c r="D103" i="2"/>
  <c r="D104" i="2"/>
  <c r="D105" i="2"/>
  <c r="D35" i="2"/>
  <c r="G10" i="2"/>
  <c r="J10" i="2"/>
  <c r="J99" i="2" s="1"/>
  <c r="G35" i="2"/>
  <c r="D99" i="2"/>
  <c r="C95" i="2"/>
  <c r="I95" i="2"/>
  <c r="F95" i="2"/>
  <c r="L95" i="2"/>
  <c r="O95" i="2"/>
  <c r="R95" i="2"/>
  <c r="C94" i="2"/>
  <c r="O94" i="2"/>
  <c r="C93" i="2"/>
  <c r="I93" i="2"/>
  <c r="S87" i="2"/>
  <c r="D23" i="3"/>
  <c r="D22" i="3"/>
  <c r="G36" i="2"/>
  <c r="J36" i="2"/>
  <c r="M36" i="2"/>
  <c r="P36" i="2"/>
  <c r="C90" i="2"/>
  <c r="C89" i="2"/>
  <c r="D15" i="3"/>
  <c r="D16" i="3" s="1"/>
  <c r="S114" i="2"/>
  <c r="S113" i="2"/>
  <c r="S112" i="2"/>
  <c r="S111" i="2"/>
  <c r="S110" i="2"/>
  <c r="S109" i="2"/>
  <c r="S108" i="2"/>
  <c r="S102" i="2"/>
  <c r="S101" i="2"/>
  <c r="P103" i="2"/>
  <c r="P104" i="2"/>
  <c r="R104" i="2"/>
  <c r="P105" i="2"/>
  <c r="M103" i="2"/>
  <c r="M104" i="2"/>
  <c r="O104" i="2"/>
  <c r="M105" i="2"/>
  <c r="J103" i="2"/>
  <c r="J104" i="2"/>
  <c r="L104" i="2"/>
  <c r="J105" i="2"/>
  <c r="G103" i="2"/>
  <c r="G104" i="2"/>
  <c r="I104" i="2"/>
  <c r="G105" i="2"/>
  <c r="G106" i="2"/>
  <c r="G107" i="2"/>
  <c r="G115" i="2"/>
  <c r="C44" i="2"/>
  <c r="C42" i="2"/>
  <c r="F42" i="2" s="1"/>
  <c r="C39" i="2"/>
  <c r="F39" i="2" s="1"/>
  <c r="D25" i="2"/>
  <c r="Q25" i="2"/>
  <c r="R28" i="2" s="1"/>
  <c r="P25" i="2"/>
  <c r="N25" i="2"/>
  <c r="O28" i="2" s="1"/>
  <c r="M25" i="2"/>
  <c r="K25" i="2"/>
  <c r="L28" i="2"/>
  <c r="J25" i="2"/>
  <c r="H25" i="2"/>
  <c r="I28" i="2" s="1"/>
  <c r="G25" i="2"/>
  <c r="C24" i="2"/>
  <c r="F24" i="2" s="1"/>
  <c r="C18" i="2"/>
  <c r="F18" i="2" s="1"/>
  <c r="C16" i="2"/>
  <c r="F16" i="2" s="1"/>
  <c r="C15" i="2"/>
  <c r="F15" i="2" s="1"/>
  <c r="C14" i="2"/>
  <c r="F14" i="2" s="1"/>
  <c r="C12" i="2"/>
  <c r="F12" i="2" s="1"/>
  <c r="F31" i="2" s="1"/>
  <c r="D7" i="3"/>
  <c r="D8" i="3"/>
  <c r="D6" i="3"/>
  <c r="D5" i="3"/>
  <c r="C37" i="2"/>
  <c r="F37" i="2" s="1"/>
  <c r="C38" i="2"/>
  <c r="F38" i="2"/>
  <c r="C64" i="2"/>
  <c r="F64" i="2" s="1"/>
  <c r="C63" i="2"/>
  <c r="F63" i="2" s="1"/>
  <c r="C59" i="2"/>
  <c r="F59" i="2" s="1"/>
  <c r="C62" i="2"/>
  <c r="F62" i="2" s="1"/>
  <c r="C58" i="2"/>
  <c r="F58" i="2"/>
  <c r="C66" i="2"/>
  <c r="F66" i="2" s="1"/>
  <c r="C65" i="2"/>
  <c r="F65" i="2" s="1"/>
  <c r="C61" i="2"/>
  <c r="F61" i="2" s="1"/>
  <c r="C57" i="2"/>
  <c r="F57" i="2" s="1"/>
  <c r="C60" i="2"/>
  <c r="F60" i="2" s="1"/>
  <c r="C56" i="2"/>
  <c r="D24" i="3"/>
  <c r="D21" i="3"/>
  <c r="D25" i="3"/>
  <c r="G99" i="2"/>
  <c r="L94" i="2"/>
  <c r="R94" i="2"/>
  <c r="P106" i="2"/>
  <c r="P107" i="2"/>
  <c r="P115" i="2"/>
  <c r="S103" i="2"/>
  <c r="F43" i="2"/>
  <c r="I94" i="2"/>
  <c r="L93" i="2"/>
  <c r="D106" i="2"/>
  <c r="O93" i="2"/>
  <c r="R93" i="2"/>
  <c r="F94" i="2"/>
  <c r="F93" i="2"/>
  <c r="M106" i="2"/>
  <c r="M107" i="2"/>
  <c r="M115" i="2"/>
  <c r="J106" i="2"/>
  <c r="J107" i="2"/>
  <c r="J115" i="2"/>
  <c r="S105" i="2"/>
  <c r="D107" i="2"/>
  <c r="S104" i="2"/>
  <c r="F46" i="2"/>
  <c r="F54" i="2"/>
  <c r="F47" i="2"/>
  <c r="S106" i="2"/>
  <c r="S107" i="2"/>
  <c r="S115" i="2"/>
  <c r="D115" i="2"/>
  <c r="I55" i="2"/>
  <c r="I52" i="2"/>
  <c r="L86" i="2"/>
  <c r="I43" i="2"/>
  <c r="L65" i="2"/>
  <c r="S95" i="2" l="1"/>
  <c r="S93" i="2"/>
  <c r="S94" i="2"/>
  <c r="S91" i="2"/>
  <c r="S28" i="2"/>
  <c r="I61" i="2"/>
  <c r="I66" i="2"/>
  <c r="L57" i="2"/>
  <c r="F83" i="2"/>
  <c r="F70" i="2"/>
  <c r="I77" i="2"/>
  <c r="O48" i="2"/>
  <c r="R43" i="2"/>
  <c r="R62" i="2"/>
  <c r="R79" i="2"/>
  <c r="I57" i="2"/>
  <c r="L52" i="2"/>
  <c r="L44" i="2"/>
  <c r="R80" i="2"/>
  <c r="O54" i="2"/>
  <c r="L61" i="2"/>
  <c r="O81" i="2"/>
  <c r="L38" i="2"/>
  <c r="I82" i="2"/>
  <c r="L51" i="2"/>
  <c r="F44" i="2"/>
  <c r="F41" i="2"/>
  <c r="O41" i="2"/>
  <c r="L68" i="2"/>
  <c r="F85" i="2"/>
  <c r="L81" i="2"/>
  <c r="F48" i="2"/>
  <c r="F45" i="2" s="1"/>
  <c r="I51" i="2"/>
  <c r="O51" i="2"/>
  <c r="D17" i="3"/>
  <c r="C20" i="2"/>
  <c r="F20" i="2" s="1"/>
  <c r="C19" i="2"/>
  <c r="F19" i="2" s="1"/>
  <c r="L12" i="2"/>
  <c r="L31" i="2" s="1"/>
  <c r="I40" i="2"/>
  <c r="L66" i="2"/>
  <c r="I37" i="2"/>
  <c r="I17" i="2"/>
  <c r="I39" i="2"/>
  <c r="O47" i="2"/>
  <c r="O65" i="2"/>
  <c r="I76" i="2"/>
  <c r="I60" i="2"/>
  <c r="I81" i="2"/>
  <c r="I18" i="2"/>
  <c r="O43" i="2"/>
  <c r="I14" i="2"/>
  <c r="I75" i="2"/>
  <c r="I42" i="2"/>
  <c r="I78" i="2"/>
  <c r="I69" i="2"/>
  <c r="I64" i="2"/>
  <c r="L14" i="2"/>
  <c r="R14" i="2"/>
  <c r="I80" i="2"/>
  <c r="I65" i="2"/>
  <c r="L16" i="2"/>
  <c r="L49" i="2"/>
  <c r="L23" i="2"/>
  <c r="I71" i="2"/>
  <c r="R85" i="2"/>
  <c r="L77" i="2"/>
  <c r="L43" i="2"/>
  <c r="I73" i="2"/>
  <c r="L78" i="2"/>
  <c r="L73" i="2"/>
  <c r="L39" i="2"/>
  <c r="I16" i="2"/>
  <c r="L70" i="2"/>
  <c r="I47" i="2"/>
  <c r="L63" i="2"/>
  <c r="L84" i="2"/>
  <c r="L18" i="2"/>
  <c r="R69" i="2"/>
  <c r="O63" i="2"/>
  <c r="L15" i="2"/>
  <c r="O71" i="2"/>
  <c r="I67" i="2"/>
  <c r="L79" i="2"/>
  <c r="I38" i="2"/>
  <c r="I54" i="2"/>
  <c r="L41" i="2"/>
  <c r="O79" i="2"/>
  <c r="I79" i="2"/>
  <c r="L83" i="2"/>
  <c r="L54" i="2"/>
  <c r="I50" i="2"/>
  <c r="O55" i="2"/>
  <c r="L17" i="2"/>
  <c r="I41" i="2"/>
  <c r="I46" i="2"/>
  <c r="R53" i="2"/>
  <c r="R41" i="2"/>
  <c r="R24" i="2"/>
  <c r="R17" i="2"/>
  <c r="R55" i="2"/>
  <c r="R39" i="2"/>
  <c r="R51" i="2"/>
  <c r="R84" i="2"/>
  <c r="R16" i="2"/>
  <c r="R71" i="2"/>
  <c r="R57" i="2"/>
  <c r="R42" i="2"/>
  <c r="R83" i="2"/>
  <c r="R61" i="2"/>
  <c r="L64" i="2"/>
  <c r="I12" i="2"/>
  <c r="I31" i="2" s="1"/>
  <c r="O16" i="2"/>
  <c r="R40" i="2"/>
  <c r="I68" i="2"/>
  <c r="I86" i="2"/>
  <c r="O62" i="2"/>
  <c r="R48" i="2"/>
  <c r="I24" i="2"/>
  <c r="I72" i="2"/>
  <c r="I85" i="2"/>
  <c r="L67" i="2"/>
  <c r="O52" i="2"/>
  <c r="R15" i="2"/>
  <c r="R68" i="2"/>
  <c r="L48" i="2"/>
  <c r="O72" i="2"/>
  <c r="I13" i="2"/>
  <c r="R78" i="2"/>
  <c r="I59" i="2"/>
  <c r="L72" i="2"/>
  <c r="O68" i="2"/>
  <c r="L58" i="2"/>
  <c r="L13" i="2"/>
  <c r="I15" i="2"/>
  <c r="O24" i="2"/>
  <c r="R77" i="2"/>
  <c r="O13" i="2"/>
  <c r="R82" i="2"/>
  <c r="O75" i="2"/>
  <c r="O44" i="2"/>
  <c r="L69" i="2"/>
  <c r="L47" i="2"/>
  <c r="R74" i="2"/>
  <c r="O69" i="2"/>
  <c r="R86" i="2"/>
  <c r="R64" i="2"/>
  <c r="R58" i="2"/>
  <c r="R76" i="2"/>
  <c r="L40" i="2"/>
  <c r="R52" i="2"/>
  <c r="R81" i="2"/>
  <c r="O53" i="2"/>
  <c r="I23" i="2"/>
  <c r="I84" i="2"/>
  <c r="O80" i="2"/>
  <c r="L71" i="2"/>
  <c r="I58" i="2"/>
  <c r="O82" i="2"/>
  <c r="O39" i="2"/>
  <c r="R13" i="2"/>
  <c r="O15" i="2"/>
  <c r="I63" i="2"/>
  <c r="O14" i="2"/>
  <c r="I62" i="2"/>
  <c r="I74" i="2"/>
  <c r="I44" i="2"/>
  <c r="M10" i="2"/>
  <c r="J35" i="2"/>
  <c r="O42" i="2"/>
  <c r="O57" i="2"/>
  <c r="R54" i="2"/>
  <c r="O67" i="2"/>
  <c r="R63" i="2"/>
  <c r="L59" i="2"/>
  <c r="L55" i="2"/>
  <c r="O58" i="2"/>
  <c r="L74" i="2"/>
  <c r="O85" i="2"/>
  <c r="L82" i="2"/>
  <c r="O84" i="2"/>
  <c r="O49" i="2"/>
  <c r="O18" i="2"/>
  <c r="L50" i="2"/>
  <c r="R49" i="2"/>
  <c r="R50" i="2"/>
  <c r="O17" i="2"/>
  <c r="O66" i="2"/>
  <c r="O37" i="2"/>
  <c r="O83" i="2"/>
  <c r="R12" i="2"/>
  <c r="O40" i="2"/>
  <c r="L62" i="2"/>
  <c r="R44" i="2"/>
  <c r="O73" i="2"/>
  <c r="R65" i="2"/>
  <c r="O74" i="2"/>
  <c r="L37" i="2"/>
  <c r="O38" i="2"/>
  <c r="O76" i="2"/>
  <c r="O60" i="2"/>
  <c r="L53" i="2"/>
  <c r="R70" i="2"/>
  <c r="O64" i="2"/>
  <c r="R46" i="2"/>
  <c r="O70" i="2"/>
  <c r="R59" i="2"/>
  <c r="R73" i="2"/>
  <c r="L75" i="2"/>
  <c r="O86" i="2"/>
  <c r="L76" i="2"/>
  <c r="R38" i="2"/>
  <c r="L46" i="2"/>
  <c r="L60" i="2"/>
  <c r="R67" i="2"/>
  <c r="O61" i="2"/>
  <c r="O46" i="2"/>
  <c r="R72" i="2"/>
  <c r="O78" i="2"/>
  <c r="O12" i="2"/>
  <c r="R23" i="2"/>
  <c r="I53" i="2"/>
  <c r="R60" i="2"/>
  <c r="O20" i="2"/>
  <c r="R75" i="2"/>
  <c r="O23" i="2"/>
  <c r="O77" i="2"/>
  <c r="R37" i="2"/>
  <c r="R18" i="2"/>
  <c r="O59" i="2"/>
  <c r="L80" i="2"/>
  <c r="I49" i="2"/>
  <c r="R66" i="2"/>
  <c r="O50" i="2"/>
  <c r="L42" i="2"/>
  <c r="I48" i="2"/>
  <c r="L24" i="2"/>
  <c r="F56" i="2" l="1"/>
  <c r="F88" i="2" s="1"/>
  <c r="F92" i="2" s="1"/>
  <c r="L19" i="2"/>
  <c r="R19" i="2"/>
  <c r="L20" i="2"/>
  <c r="I19" i="2"/>
  <c r="O19" i="2"/>
  <c r="R20" i="2"/>
  <c r="S79" i="2"/>
  <c r="S51" i="2"/>
  <c r="S81" i="2"/>
  <c r="S62" i="2"/>
  <c r="S85" i="2"/>
  <c r="I20" i="2"/>
  <c r="C21" i="2"/>
  <c r="D18" i="3"/>
  <c r="C22" i="2" s="1"/>
  <c r="S52" i="2"/>
  <c r="S41" i="2"/>
  <c r="S16" i="2"/>
  <c r="S47" i="2"/>
  <c r="S61" i="2"/>
  <c r="S14" i="2"/>
  <c r="S65" i="2"/>
  <c r="S43" i="2"/>
  <c r="S55" i="2"/>
  <c r="S39" i="2"/>
  <c r="I56" i="2"/>
  <c r="S44" i="2"/>
  <c r="S68" i="2"/>
  <c r="S54" i="2"/>
  <c r="S84" i="2"/>
  <c r="S63" i="2"/>
  <c r="S71" i="2"/>
  <c r="S70" i="2"/>
  <c r="S50" i="2"/>
  <c r="S60" i="2"/>
  <c r="S18" i="2"/>
  <c r="S24" i="2"/>
  <c r="S38" i="2"/>
  <c r="S83" i="2"/>
  <c r="S57" i="2"/>
  <c r="S86" i="2"/>
  <c r="S13" i="2"/>
  <c r="S78" i="2"/>
  <c r="S72" i="2"/>
  <c r="S58" i="2"/>
  <c r="O45" i="2"/>
  <c r="S82" i="2"/>
  <c r="S80" i="2"/>
  <c r="S59" i="2"/>
  <c r="S40" i="2"/>
  <c r="S75" i="2"/>
  <c r="S67" i="2"/>
  <c r="S73" i="2"/>
  <c r="S15" i="2"/>
  <c r="S77" i="2"/>
  <c r="R56" i="2"/>
  <c r="S23" i="2"/>
  <c r="R45" i="2"/>
  <c r="S66" i="2"/>
  <c r="S64" i="2"/>
  <c r="S69" i="2"/>
  <c r="S53" i="2"/>
  <c r="M99" i="2"/>
  <c r="P10" i="2"/>
  <c r="M35" i="2"/>
  <c r="R31" i="2"/>
  <c r="S42" i="2"/>
  <c r="S49" i="2"/>
  <c r="O56" i="2"/>
  <c r="L56" i="2"/>
  <c r="S17" i="2"/>
  <c r="O31" i="2"/>
  <c r="S48" i="2"/>
  <c r="I45" i="2"/>
  <c r="S37" i="2"/>
  <c r="L45" i="2"/>
  <c r="S46" i="2"/>
  <c r="S74" i="2"/>
  <c r="S12" i="2"/>
  <c r="S76" i="2"/>
  <c r="S20" i="2" l="1"/>
  <c r="S19" i="2"/>
  <c r="F89" i="2"/>
  <c r="F90" i="2"/>
  <c r="F22" i="2"/>
  <c r="I22" i="2"/>
  <c r="L22" i="2"/>
  <c r="R22" i="2"/>
  <c r="O22" i="2"/>
  <c r="F21" i="2"/>
  <c r="I21" i="2"/>
  <c r="O21" i="2"/>
  <c r="R21" i="2"/>
  <c r="L21" i="2"/>
  <c r="R88" i="2"/>
  <c r="O88" i="2"/>
  <c r="O89" i="2" s="1"/>
  <c r="P99" i="2"/>
  <c r="P35" i="2"/>
  <c r="L88" i="2"/>
  <c r="S56" i="2"/>
  <c r="S45" i="2"/>
  <c r="I88" i="2"/>
  <c r="S31" i="2"/>
  <c r="S88" i="2" l="1"/>
  <c r="F96" i="2"/>
  <c r="D97" i="2" s="1"/>
  <c r="O92" i="2"/>
  <c r="O90" i="2"/>
  <c r="R30" i="2"/>
  <c r="R25" i="2"/>
  <c r="L30" i="2"/>
  <c r="L25" i="2"/>
  <c r="O25" i="2"/>
  <c r="O30" i="2"/>
  <c r="I30" i="2"/>
  <c r="I25" i="2"/>
  <c r="F25" i="2"/>
  <c r="F30" i="2"/>
  <c r="S21" i="2"/>
  <c r="S22" i="2"/>
  <c r="R89" i="2"/>
  <c r="R92" i="2"/>
  <c r="R90" i="2"/>
  <c r="I90" i="2"/>
  <c r="I92" i="2"/>
  <c r="I89" i="2"/>
  <c r="L92" i="2"/>
  <c r="L90" i="2"/>
  <c r="L89" i="2"/>
  <c r="O96" i="2" l="1"/>
  <c r="M97" i="2" s="1"/>
  <c r="O27" i="2"/>
  <c r="O29" i="2"/>
  <c r="O26" i="2"/>
  <c r="F26" i="2"/>
  <c r="F29" i="2"/>
  <c r="F27" i="2"/>
  <c r="S25" i="2"/>
  <c r="S30" i="2"/>
  <c r="I29" i="2"/>
  <c r="I27" i="2"/>
  <c r="I26" i="2"/>
  <c r="L27" i="2"/>
  <c r="L29" i="2"/>
  <c r="L26" i="2"/>
  <c r="R27" i="2"/>
  <c r="R26" i="2"/>
  <c r="R29" i="2"/>
  <c r="R96" i="2"/>
  <c r="P97" i="2" s="1"/>
  <c r="L96" i="2"/>
  <c r="J97" i="2" s="1"/>
  <c r="I96" i="2"/>
  <c r="S89" i="2"/>
  <c r="S92" i="2"/>
  <c r="S90" i="2"/>
  <c r="I32" i="2" l="1"/>
  <c r="G33" i="2" s="1"/>
  <c r="O32" i="2"/>
  <c r="M33" i="2" s="1"/>
  <c r="M117" i="2" s="1"/>
  <c r="R32" i="2"/>
  <c r="P33" i="2" s="1"/>
  <c r="P117" i="2" s="1"/>
  <c r="S27" i="2"/>
  <c r="L32" i="2"/>
  <c r="J33" i="2" s="1"/>
  <c r="J117" i="2" s="1"/>
  <c r="S29" i="2"/>
  <c r="F32" i="2"/>
  <c r="S26" i="2"/>
  <c r="S96" i="2"/>
  <c r="S97" i="2" s="1"/>
  <c r="G97" i="2"/>
  <c r="G117" i="2" l="1"/>
  <c r="D33" i="2"/>
  <c r="D117" i="2" s="1"/>
  <c r="S32" i="2"/>
  <c r="S33" i="2" s="1"/>
  <c r="S117" i="2" s="1"/>
</calcChain>
</file>

<file path=xl/sharedStrings.xml><?xml version="1.0" encoding="utf-8"?>
<sst xmlns="http://schemas.openxmlformats.org/spreadsheetml/2006/main" count="291" uniqueCount="228">
  <si>
    <t>Werkverträge</t>
  </si>
  <si>
    <t>EDV-Anlagen</t>
  </si>
  <si>
    <t>Personalkosten gesamt</t>
  </si>
  <si>
    <t>Technisch-wissenschaftliche Anlagen</t>
  </si>
  <si>
    <t>Kosten</t>
  </si>
  <si>
    <t>MO</t>
  </si>
  <si>
    <t xml:space="preserve">VZÄ </t>
  </si>
  <si>
    <t>DB - Freie DN</t>
  </si>
  <si>
    <t>DB - MVK Freie DN</t>
  </si>
  <si>
    <t>Freie Dienstverträge</t>
  </si>
  <si>
    <t>Reisekosten</t>
  </si>
  <si>
    <t>Materialkosten</t>
  </si>
  <si>
    <t>Sonstige Mieten und Leasing</t>
  </si>
  <si>
    <t>Fremdleistungskosten</t>
  </si>
  <si>
    <t>sonstige Kosten</t>
  </si>
  <si>
    <t>DGB Freie Dienstnehmer</t>
  </si>
  <si>
    <t>DGB Angestellte</t>
  </si>
  <si>
    <t>Ausfüllhilfe:</t>
  </si>
  <si>
    <t>Summe Gehälter Angestellte</t>
  </si>
  <si>
    <t>Bezeichnung der Kostenstelle / des Projekts</t>
  </si>
  <si>
    <t xml:space="preserve">UnivProf (KV) </t>
  </si>
  <si>
    <t>GastProf (KV)</t>
  </si>
  <si>
    <t>AssistenzProf (KV)</t>
  </si>
  <si>
    <t xml:space="preserve">Assoziierte Prof.  (KV) </t>
  </si>
  <si>
    <t>UnivAss postdoc (KV)</t>
  </si>
  <si>
    <t>UnivAss Tenure Track (KV)</t>
  </si>
  <si>
    <t xml:space="preserve">KollegAss praedoc (KV) </t>
  </si>
  <si>
    <t xml:space="preserve">UnivAss praedoc (KV) </t>
  </si>
  <si>
    <t>Senior Lecturers (KV)</t>
  </si>
  <si>
    <t>wiss. ProjektmitarbeiterInnen (KV)  -  DM</t>
  </si>
  <si>
    <t>Senior Scientists (KV)</t>
  </si>
  <si>
    <t>StudAss (KV)</t>
  </si>
  <si>
    <t>LektorIn KV</t>
  </si>
  <si>
    <t>DB - FLAF LA (KV)</t>
  </si>
  <si>
    <t>DB - SV LA (KV)</t>
  </si>
  <si>
    <t>Abg. / Pfl.beitr. (KV)</t>
  </si>
  <si>
    <t>DB - MVK (KV)</t>
  </si>
  <si>
    <t>Kostenart</t>
  </si>
  <si>
    <t>Kostenartenbezeichnung</t>
  </si>
  <si>
    <t>VwGr I</t>
  </si>
  <si>
    <t>VwGr IIa</t>
  </si>
  <si>
    <t>VwGr IIb</t>
  </si>
  <si>
    <t>VwGr IIIa</t>
  </si>
  <si>
    <t>VwGr IIIb</t>
  </si>
  <si>
    <t>VwGr IVa</t>
  </si>
  <si>
    <t>VwGr IVb</t>
  </si>
  <si>
    <t>VwGr V</t>
  </si>
  <si>
    <t>Ø-Bezug mtl. (ex. SZ)</t>
  </si>
  <si>
    <t>Einstufung (Grundstufe)</t>
  </si>
  <si>
    <t>A1</t>
  </si>
  <si>
    <t>A1/8 SWS</t>
  </si>
  <si>
    <t>A1/7 SWS</t>
  </si>
  <si>
    <t>A1/6 SWS</t>
  </si>
  <si>
    <t>A1/5 SWS</t>
  </si>
  <si>
    <t>A1/4 SWS</t>
  </si>
  <si>
    <t>A1/3 SWS</t>
  </si>
  <si>
    <t>A1/2 SWS</t>
  </si>
  <si>
    <t>VZÄ</t>
  </si>
  <si>
    <t>LVG 1 je SWS</t>
  </si>
  <si>
    <t>LVG 2 je SWS</t>
  </si>
  <si>
    <t>LVG 3 je SWS</t>
  </si>
  <si>
    <t>LVG 4 je SWS</t>
  </si>
  <si>
    <t>eingeplante Valorisierungen für Folgejahre</t>
  </si>
  <si>
    <t xml:space="preserve">DB - Pensionskassa (KV)  f. UnivProf. 10% </t>
  </si>
  <si>
    <t>DB - Pensionskassa (KV)  f. sonst.Bed. 3%</t>
  </si>
  <si>
    <t>Jahr</t>
  </si>
  <si>
    <t>Faktor</t>
  </si>
  <si>
    <t>Erhöhung in %</t>
  </si>
  <si>
    <t>B1/1</t>
  </si>
  <si>
    <t>B1/3</t>
  </si>
  <si>
    <t>Allg. Universitätspersonal (KV)
Allg. ProjektmitarbeiterInnen (KV)  -  DM</t>
  </si>
  <si>
    <t>DB - FLAF Freie DN</t>
  </si>
  <si>
    <t>Nummer der Kostenstelle / des Projekts</t>
  </si>
  <si>
    <t>Beginn:</t>
  </si>
  <si>
    <t>Ende:</t>
  </si>
  <si>
    <t>Genehmigtes Budget</t>
  </si>
  <si>
    <t>Personalkosten</t>
  </si>
  <si>
    <t>LVG 5 je SWS</t>
  </si>
  <si>
    <t>Anmerkung</t>
  </si>
  <si>
    <t>1 UE</t>
  </si>
  <si>
    <t xml:space="preserve"> = 45 Minuten</t>
  </si>
  <si>
    <t>1 SWS</t>
  </si>
  <si>
    <t>Blockverträge</t>
  </si>
  <si>
    <t xml:space="preserve"> = wenn Zeitraum zwischen dem Beginn und dem Ende der LV 90 Tag nicht überschreitet</t>
  </si>
  <si>
    <t xml:space="preserve"> = 45 Arbeitsstunden</t>
  </si>
  <si>
    <t xml:space="preserve"> = 38,25 Arbeitsstunden</t>
  </si>
  <si>
    <t xml:space="preserve"> = 24,25 Arbeitsstunden</t>
  </si>
  <si>
    <t xml:space="preserve"> = 18,25 Arbeitsstunden</t>
  </si>
  <si>
    <t>LVG1</t>
  </si>
  <si>
    <t>LVG2</t>
  </si>
  <si>
    <t>LVG3</t>
  </si>
  <si>
    <t>LVG4</t>
  </si>
  <si>
    <t>LVG5</t>
  </si>
  <si>
    <t xml:space="preserve"> = LV aus einem wissenschaftlichen Fach mit Ausnahme des universitären Sprachunterrichts</t>
  </si>
  <si>
    <t xml:space="preserve"> = LV aus universitären Sprachunterricht</t>
  </si>
  <si>
    <t xml:space="preserve"> = LV aus einem wissenschafltichen oder praktischen Fach, bei denen die Leiterin oder Leiter eine überwiegend anleitende oder kontrollierende Tätigkeit ausübt</t>
  </si>
  <si>
    <t xml:space="preserve"> = LV, die von besonders qualifizierten externen Fachleuten ("Experten") abgehalten werden</t>
  </si>
  <si>
    <t>Nebenberufliche LektorInnen Frei DV</t>
  </si>
  <si>
    <t>LVG FD 1 je SWS</t>
  </si>
  <si>
    <t>LVG FD 2 je SWS</t>
  </si>
  <si>
    <t>LVG FD 3 je SWS</t>
  </si>
  <si>
    <t>LVG FD 4 je SWS</t>
  </si>
  <si>
    <t>Begriff</t>
  </si>
  <si>
    <t>Erklärung</t>
  </si>
  <si>
    <t>TutorInnen</t>
  </si>
  <si>
    <t>Studentische MitarbeiterInnen sind teilzeitbeschäftigte ArbeitnehmerInnen, die bei Abschluss des Arbetisvertrages ein für die in Betracht kommende Verwendung vorgesehenes Master- (Diplom-)Studium noch nicht abgeschlossen haben</t>
  </si>
  <si>
    <t>USI Stufe 1</t>
  </si>
  <si>
    <t>USI Stufe 2</t>
  </si>
  <si>
    <t>USI Stufe 3</t>
  </si>
  <si>
    <t xml:space="preserve"> = SportstudentInnen und Personen mit Lehwarteprüfung</t>
  </si>
  <si>
    <t xml:space="preserve"> = AkademikerInnen, staatlich geprüfte TrainerInnen oder Personen mit gleichwertiger Ausbildung, SpitzensportlerInnen</t>
  </si>
  <si>
    <t xml:space="preserve"> = vollgeprüfte LeibeserzieherInnen, AkademikerInnen mit staatlicher Trainerausbildung</t>
  </si>
  <si>
    <t>Summe Gehälter Lehrbeauftragte</t>
  </si>
  <si>
    <t xml:space="preserve"> = 45 Minuten Unterricht jede Woche für 1 Semester = 15 Unterrichtseinheiten</t>
  </si>
  <si>
    <r>
      <t xml:space="preserve"> = PrivatdozentInnen sind Personen, denen auf Grund ihrer wissenschafltichen oder Künstlerischen Qualifikation von der Universität die Lehrbefugnis (venia docendi) für ein wissenschafltiches oder künstlerisches Fach verliehen wurde. Sie stehen als PrivatdozentInne in keinem Arbeitsverhältnis zur Universität. </t>
    </r>
    <r>
      <rPr>
        <b/>
        <sz val="10"/>
        <rFont val="Calibri"/>
        <family val="2"/>
        <scheme val="minor"/>
      </rPr>
      <t>Sie unterliegen weder der Versicherungspflicht nach dem B-KUVG oder ASVG noch der Versicherungspflicht nach dem Arbeitslosenversicherungsgesetz 1977, BGBl. Nr. 609.-</t>
    </r>
  </si>
  <si>
    <t>Sachkosten, Externes Personal und Investitionen</t>
  </si>
  <si>
    <t>Sachkosten, Externes Personal und Investitonen gesamt</t>
  </si>
  <si>
    <t>Links:</t>
  </si>
  <si>
    <t>Die Umrechnung auf 75% erfolgt im Blatt Kostenplann durch Eintragung 0,75 VZÄ</t>
  </si>
  <si>
    <t xml:space="preserve"> Die Summen berechnen sich automatisch.</t>
  </si>
  <si>
    <t>Summe Externes Personal</t>
  </si>
  <si>
    <t>Monatsbezug  
in EUR</t>
  </si>
  <si>
    <t>Kosten in EUR</t>
  </si>
  <si>
    <t>GESAMT
in EUR</t>
  </si>
  <si>
    <t xml:space="preserve">    GESAMTKOSTEN </t>
  </si>
  <si>
    <t>A2/2</t>
  </si>
  <si>
    <t>A2/3</t>
  </si>
  <si>
    <t>https://intra.univie.ac.at/fileadmin/upload/personalwesen/Themen_A-Z/Handbuch_Verguetungscodes.pdf</t>
  </si>
  <si>
    <t>GastProf (KV)   -   A1/8 SWS</t>
  </si>
  <si>
    <t>wiss. Projektmitarbeiter (KV)  -  DM</t>
  </si>
  <si>
    <t>Allg. Universitätspersonal (KV)  VwGr IIIa</t>
  </si>
  <si>
    <t xml:space="preserve"> - Es können nur gelb markierte Felder befüllt werden.</t>
  </si>
  <si>
    <t xml:space="preserve"> - Tragen Sie für die Berechnung der Lehrbeauftragten die gewünschten SWS sowie die Anzahl der Anstellungsmonate ein.</t>
  </si>
  <si>
    <t xml:space="preserve"> - Weiters tragen Sie die die Anzahl der Beschäftigungsmonate pro Kalenderjahr in der Spalte "MO" ein</t>
  </si>
  <si>
    <t xml:space="preserve"> - für die Budgetplanung Werkverträge, Freie Dienstnehmer sowie für die Sachkosten und Investitionen sind die jeweiligen Jahresbeträge einzutragen</t>
  </si>
  <si>
    <t xml:space="preserve"> - die automatisch errechnete Gesamtsumme über die bewilligte Gesamtlaufzeit (dzt. 3 Jahre) soll die Bewilligungssumme gem. Genehmigungsschreiben widerspiegeln</t>
  </si>
  <si>
    <t xml:space="preserve"> - Tragen Sie für die Berechnung der Personalkosten nur das Vollzeitäquivalent (VZÄ) ein, wobei hier 1 = 100% bzw. eine ganze Stelle bedeutet, KollegAss praedocs (KV) bzw. UnivAss praedocs (KV) sind bitte mit 0,75% (bei 30 Stundenanstellung) einzutragen.</t>
  </si>
  <si>
    <t xml:space="preserve">https://intra.univie.ac.at/fileadmin/upload/personalwesen/Themen_A-Z/Handbuch_Verguetungscodes.pdf </t>
  </si>
  <si>
    <t>1 WS</t>
  </si>
  <si>
    <t>(S)WS</t>
  </si>
  <si>
    <t>mögliche Varianten:</t>
  </si>
  <si>
    <t>*</t>
  </si>
  <si>
    <t>mtl. Bezug exl. Sonderzahlung;
Die Umrechnung erfolgt im Blatt Kostenplan durch Eintragung der Wochenstunden und Anzahl der Monate</t>
  </si>
  <si>
    <t>Anstellung für 6 Monate pro Semester inkl. 1 Monat Sonderzahlung (7 M für 6 M), 
WS: Sept.-Feb., SS: März-Aug.</t>
  </si>
  <si>
    <r>
      <t xml:space="preserve">Beauftragung in der Regel für 1 Semester
Die Abgeltung im Semester bezieht sich immer auf eine Semesterstunde.
WS: Sept.-Feb., SS: März-August
Mtl. Bezug </t>
    </r>
    <r>
      <rPr>
        <b/>
        <sz val="10"/>
        <rFont val="Calibri"/>
        <family val="2"/>
        <scheme val="minor"/>
      </rPr>
      <t xml:space="preserve">inkl. Sonderzahlung </t>
    </r>
    <r>
      <rPr>
        <sz val="10"/>
        <rFont val="Calibri"/>
        <family val="2"/>
        <scheme val="minor"/>
      </rPr>
      <t>(daher Division durch 7)</t>
    </r>
  </si>
  <si>
    <t xml:space="preserve"> WS: Okt.-Feb., SS: März-Juli</t>
  </si>
  <si>
    <t>DGB Lehrbeauftragte</t>
  </si>
  <si>
    <t>Personen, die ausschließlich in der Lehre tätig sind und max. 4 SWS lehren, legen durch ihre Erklärung am Aufnahmebogen den Vertragstyp fest. Wenn sie erklären, dass sie Einkünfte von zumindest € 2.988,- brutto/Monat für 2017 beziehen und einer Vollversicherungspflicht unterliegen, wird ein freies Dienstverhältnis begründet. Beziehn sie geringere Einkünfte oder unterliegen sie keiner Vollversicherung, wird ein echtes Arbeitsverhältnis begründet.</t>
  </si>
  <si>
    <t>4 Monate, 20 Wochenstunden (0,5 VZÄ)</t>
  </si>
  <si>
    <t>4 Monate, 10 Wochenstunden (0,25 VZÄ)</t>
  </si>
  <si>
    <t>5 Monate, 16 Wochenstunden (0,4 VZÄ)</t>
  </si>
  <si>
    <t>6 Monate, 14 Wochenstunden (0,35 VZÄ)</t>
  </si>
  <si>
    <t>1-4 Jahre, 14 Wochenstunden (0,35 VZÄ)</t>
  </si>
  <si>
    <t>gültig ab 1.2.2018</t>
  </si>
  <si>
    <t>USK 1 je SWS</t>
  </si>
  <si>
    <t>USK 2 je SWS</t>
  </si>
  <si>
    <t>USK 3 je SWS</t>
  </si>
  <si>
    <t xml:space="preserve">TutorInnen (KV)
</t>
  </si>
  <si>
    <t>https://intra.univie.ac.at/themen-a-z/initiale/e/thema/externe-lehre/aktion/show/ctlr/tp/?cHash=9a9806591504437ca2154fe574635b8e</t>
  </si>
  <si>
    <t>Projektlaufzeit</t>
  </si>
  <si>
    <t>Allg. Projektmitarbeiter*innen (KV)  VwGr IIIa</t>
  </si>
  <si>
    <t>Lektor*in (KV) LVG 5 je SWS</t>
  </si>
  <si>
    <t>Lektor*in (KV) USI 1 je SWS</t>
  </si>
  <si>
    <t>Lektor*in (KV) USI 2 je SWS</t>
  </si>
  <si>
    <t>Lektor*in (KV) USI 3 je SWS</t>
  </si>
  <si>
    <t>Nebenberufliche Lektor*in im Freien Dienstverhältnis</t>
  </si>
  <si>
    <t>DGB - Lektor*in KV Freie DN</t>
  </si>
  <si>
    <t>DGB - Lektor*in KV Freie DN MVK</t>
  </si>
  <si>
    <t xml:space="preserve">StudAss (KV) je WS - AV 1 </t>
  </si>
  <si>
    <t>StudAss (KV) je WS - AV 2</t>
  </si>
  <si>
    <t>StudAss (KV) je WS - AV 3</t>
  </si>
  <si>
    <t>StudAss (KV) je WS - AV 4</t>
  </si>
  <si>
    <t>StudAss (KV) je WS - AV 5</t>
  </si>
  <si>
    <t>StudAss (KV) je WS - AV 6</t>
  </si>
  <si>
    <t>StudAss (KV) je WS - AV 7</t>
  </si>
  <si>
    <t>StudAss (KV) je WS - AV 8</t>
  </si>
  <si>
    <t>StudAss (KV) je WS - AV 9</t>
  </si>
  <si>
    <t>StudAss (KV) je WS - AV 10</t>
  </si>
  <si>
    <t>StudAss (KV) je WS - GESAMT</t>
  </si>
  <si>
    <t>Lektor*in (KV) LVG 1 je SWS</t>
  </si>
  <si>
    <t>Lektor*in (KV) LVG 2 je SWS</t>
  </si>
  <si>
    <t>Lektor*in (KV) LVG 3 je SWS</t>
  </si>
  <si>
    <t>Lektor*in (KV) LVG 4 je SWS</t>
  </si>
  <si>
    <t>Leiter*in der Kostenstelle / des Projekts</t>
  </si>
  <si>
    <t>Lektor*innen/Tutor*innen/StudAss.</t>
  </si>
  <si>
    <t>Lektor*innen/Tutor*innen/StudAss. Gesamt</t>
  </si>
  <si>
    <t>StudAss (KV) je WS - AV 11</t>
  </si>
  <si>
    <t>StudAss (KV) je WS - AV 12</t>
  </si>
  <si>
    <t>StudAss (KV) je WS - AV 13</t>
  </si>
  <si>
    <t>StudAss (KV) je WS - AV 14</t>
  </si>
  <si>
    <t>StudAss (KV) je WS - AV 15</t>
  </si>
  <si>
    <t>StudAss (KV) je WS - AV 16</t>
  </si>
  <si>
    <t>StudAss (KV) je WS - AV 17</t>
  </si>
  <si>
    <t>StudAss (KV) je WS - AV 18</t>
  </si>
  <si>
    <t>StudAss (KV) je WS - AV 19</t>
  </si>
  <si>
    <t>StudAss (KV) je WS - AV 20</t>
  </si>
  <si>
    <t>StudAss (KV) je WS - AV 21</t>
  </si>
  <si>
    <t>StudAss (KV) je WS - AV 22</t>
  </si>
  <si>
    <t>StudAss (KV) je WS - AV 23</t>
  </si>
  <si>
    <t>StudAss (KV) je WS - AV 24</t>
  </si>
  <si>
    <t>StudAss (KV) je WS - AV 25</t>
  </si>
  <si>
    <t>StudAss (KV) je WS - AV 26</t>
  </si>
  <si>
    <t>StudAss (KV) je WS - AV 27</t>
  </si>
  <si>
    <t>StudAss (KV) je WS - AV 28</t>
  </si>
  <si>
    <t>StudAss (KV) je WS - AV 29</t>
  </si>
  <si>
    <t>StudAss (KV) je WS - AV 30</t>
  </si>
  <si>
    <t>Gehaltsinfo unter: Themen A-Z --&gt; Externe Lehre</t>
  </si>
  <si>
    <t>der monatl. Bruttobezug v. Studienassistent*innen entspricht der Verwendungsgruppe IIIa Grundstufe (das Gehalt ist zu aliquotieren)</t>
  </si>
  <si>
    <t>2026</t>
  </si>
  <si>
    <t>Tutor*in (KV) je SWS - GESAMT</t>
  </si>
  <si>
    <t>Tutor*in (KV) je SWS - AV 2</t>
  </si>
  <si>
    <t>Tutor*in (KV) je SWS - AV 3</t>
  </si>
  <si>
    <t>Tutor*in (KV) je SWS - AV 4</t>
  </si>
  <si>
    <t>Tutor*in (KV) je SWS - AV 5</t>
  </si>
  <si>
    <t>Tutor*in (KV) je SWS - AV 6</t>
  </si>
  <si>
    <t>Tutor*in (KV) je SWS - AV 7</t>
  </si>
  <si>
    <t>Tutor*in (KV) je SWS - AV 8</t>
  </si>
  <si>
    <t>Tutor*in (KV) je SWS - AV 9</t>
  </si>
  <si>
    <t>Tutor*in (KV) je SWS - AV 10</t>
  </si>
  <si>
    <t>Gehaltsinfo unter: Themen A-Z --&gt; Externe Lehre; oder bei Fr. Janik Sandra von der Personabteilung nachfragen</t>
  </si>
  <si>
    <t>Gehaltsinfo unter: Themen A-Z --&gt; Externe Lehre (Entgelte Externe Lehre) --&gt; 171,78 EUR ist das Monatsgehalt für 4 Semesterstunden; ein Semester hat 15 Wochenstunden --&gt; bei 4 Semesterstunden lehrt man daher 60 Stunden --&gt; ein Semester hat 6 Monate: 171,78*7=1.202,46 (Gehalt fürs ganze Semester inkl. SZ)</t>
  </si>
  <si>
    <t>2027</t>
  </si>
  <si>
    <t>2028</t>
  </si>
  <si>
    <t>2029</t>
  </si>
  <si>
    <t>https://personalwesen.univie.ac.at/fileadmin/user_upload/d_personalwesen/Jobs_Recruiting/Dokumente/KV/aup_2025.pdf</t>
  </si>
  <si>
    <t>https://wiki.univie.ac.at/display/PERS/Studienassistent*innen</t>
  </si>
  <si>
    <t>https://personalwesen.univie.ac.at/fileadmin/user_upload/d_personalwesen/Jobs_Recruiting/Dokumente/KV/uni-kv-19.-nachtrag_scan.pdf</t>
  </si>
  <si>
    <t xml:space="preserve">Tutor*in (KV) je SWS - AV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</si>
</sst>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0.0%"/>
    <numFmt numFmtId="166" formatCode="#,##0.00_ ;[Red]\-#,##0.00\ "/>
    <numFmt numFmtId="167" formatCode="0.000%"/>
    <numFmt numFmtId="168" formatCode="#,##0.0"/>
    <numFmt numFmtId="169" formatCode="0\ &quot;Monate&quot;"/>
    <numFmt numFmtId="170" formatCode="0.00\ &quot;/ Woche&quot;"/>
    <numFmt numFmtId="171" formatCode="0.00000"/>
  </numFmts>
  <fonts count="42" x14ac:knownFonts="1">
    <font>
      <sz val="10"/>
      <name val="Arial"/>
    </font>
    <font>
      <sz val="11"/>
      <color theme="1"/>
      <name val="Calibri"/>
      <family val="2"/>
      <scheme val="minor"/>
    </font>
    <font>
      <sz val="10"/>
      <name val="Arial"/>
      <family val="2"/>
    </font>
    <font>
      <sz val="8"/>
      <name val="Arial"/>
      <family val="2"/>
    </font>
    <font>
      <b/>
      <u/>
      <sz val="12"/>
      <name val="Calibri"/>
      <family val="2"/>
      <scheme val="minor"/>
    </font>
    <font>
      <sz val="10"/>
      <name val="Calibri"/>
      <family val="2"/>
      <scheme val="minor"/>
    </font>
    <font>
      <b/>
      <sz val="10"/>
      <name val="Calibri"/>
      <family val="2"/>
      <scheme val="minor"/>
    </font>
    <font>
      <b/>
      <i/>
      <u/>
      <sz val="9"/>
      <name val="Calibri"/>
      <family val="2"/>
      <scheme val="minor"/>
    </font>
    <font>
      <sz val="8"/>
      <name val="Calibri"/>
      <family val="2"/>
      <scheme val="minor"/>
    </font>
    <font>
      <b/>
      <sz val="10"/>
      <color theme="0"/>
      <name val="Calibri"/>
      <family val="2"/>
      <scheme val="minor"/>
    </font>
    <font>
      <b/>
      <sz val="12"/>
      <name val="Calibri"/>
      <family val="2"/>
      <scheme val="minor"/>
    </font>
    <font>
      <sz val="12"/>
      <name val="Calibri"/>
      <family val="2"/>
      <scheme val="minor"/>
    </font>
    <font>
      <u/>
      <sz val="10"/>
      <color theme="10"/>
      <name val="Arial"/>
      <family val="2"/>
    </font>
    <font>
      <b/>
      <sz val="10"/>
      <color theme="1"/>
      <name val="Calibri"/>
      <family val="2"/>
      <scheme val="minor"/>
    </font>
    <font>
      <sz val="10"/>
      <color theme="1"/>
      <name val="Calibri"/>
      <family val="2"/>
      <scheme val="minor"/>
    </font>
    <font>
      <sz val="9"/>
      <name val="Calibri"/>
      <family val="2"/>
      <scheme val="minor"/>
    </font>
    <font>
      <b/>
      <sz val="9"/>
      <name val="Calibri"/>
      <family val="2"/>
      <scheme val="minor"/>
    </font>
    <font>
      <sz val="8"/>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10"/>
      <color theme="1" tint="0.499984740745262"/>
      <name val="Calibri"/>
      <family val="2"/>
      <scheme val="minor"/>
    </font>
    <font>
      <sz val="10"/>
      <color rgb="FFFF0000"/>
      <name val="Calibri"/>
      <family val="2"/>
      <scheme val="minor"/>
    </font>
    <font>
      <u/>
      <sz val="10"/>
      <color theme="10"/>
      <name val="Calibri"/>
      <family val="2"/>
      <scheme val="minor"/>
    </font>
    <font>
      <u/>
      <sz val="10"/>
      <color rgb="FFFF0000"/>
      <name val="Calibri"/>
      <family val="2"/>
      <scheme val="minor"/>
    </font>
  </fonts>
  <fills count="61">
    <fill>
      <patternFill patternType="none"/>
    </fill>
    <fill>
      <patternFill patternType="gray125"/>
    </fill>
    <fill>
      <patternFill patternType="solid">
        <fgColor indexed="65"/>
        <bgColor theme="0"/>
      </patternFill>
    </fill>
    <fill>
      <patternFill patternType="solid">
        <fgColor theme="6" tint="0.79998168889431442"/>
        <bgColor theme="0"/>
      </patternFill>
    </fill>
    <fill>
      <patternFill patternType="solid">
        <fgColor theme="3" tint="0.79998168889431442"/>
        <bgColor theme="0"/>
      </patternFill>
    </fill>
    <fill>
      <patternFill patternType="solid">
        <fgColor theme="4" tint="0.79998168889431442"/>
        <bgColor theme="0"/>
      </patternFill>
    </fill>
    <fill>
      <patternFill patternType="solid">
        <fgColor theme="4" tint="0.59999389629810485"/>
        <bgColor theme="0"/>
      </patternFill>
    </fill>
    <fill>
      <patternFill patternType="solid">
        <fgColor rgb="FFFFFFCC"/>
        <bgColor theme="0"/>
      </patternFill>
    </fill>
    <fill>
      <patternFill patternType="solid">
        <fgColor theme="6" tint="0.59999389629810485"/>
        <bgColor theme="0"/>
      </patternFill>
    </fill>
    <fill>
      <patternFill patternType="solid">
        <fgColor theme="6" tint="0.59999389629810485"/>
        <bgColor indexed="64"/>
      </patternFill>
    </fill>
    <fill>
      <patternFill patternType="solid">
        <fgColor theme="4" tint="0.5999938962981048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s>
  <borders count="52">
    <border>
      <left/>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rgb="FF666666"/>
      </left>
      <right style="thin">
        <color rgb="FF666666"/>
      </right>
      <top style="thin">
        <color rgb="FF666666"/>
      </top>
      <bottom style="thin">
        <color rgb="FF666666"/>
      </bottom>
      <diagonal/>
    </border>
    <border diagonalUp="1">
      <left style="thin">
        <color rgb="FF666666"/>
      </left>
      <right style="thin">
        <color rgb="FF666666"/>
      </right>
      <top style="thin">
        <color rgb="FF666666"/>
      </top>
      <bottom style="thin">
        <color rgb="FF666666"/>
      </bottom>
      <diagonal style="thin">
        <color indexed="64"/>
      </diagonal>
    </border>
    <border>
      <left style="thin">
        <color indexed="64"/>
      </left>
      <right/>
      <top style="thin">
        <color rgb="FF666666"/>
      </top>
      <bottom style="double">
        <color rgb="FF666666"/>
      </bottom>
      <diagonal/>
    </border>
    <border>
      <left/>
      <right/>
      <top style="thin">
        <color rgb="FF666666"/>
      </top>
      <bottom style="double">
        <color rgb="FF666666"/>
      </bottom>
      <diagonal/>
    </border>
    <border>
      <left/>
      <right style="thin">
        <color indexed="64"/>
      </right>
      <top style="thin">
        <color rgb="FF666666"/>
      </top>
      <bottom style="double">
        <color rgb="FF666666"/>
      </bottom>
      <diagonal/>
    </border>
    <border>
      <left style="thin">
        <color indexed="64"/>
      </left>
      <right style="thin">
        <color rgb="FF666666"/>
      </right>
      <top style="thin">
        <color rgb="FF666666"/>
      </top>
      <bottom style="double">
        <color rgb="FF666666"/>
      </bottom>
      <diagonal/>
    </border>
    <border>
      <left style="thin">
        <color rgb="FF666666"/>
      </left>
      <right/>
      <top style="thin">
        <color rgb="FF666666"/>
      </top>
      <bottom style="thin">
        <color rgb="FF666666"/>
      </bottom>
      <diagonal/>
    </border>
    <border>
      <left/>
      <right/>
      <top style="thin">
        <color rgb="FF666666"/>
      </top>
      <bottom style="thin">
        <color rgb="FF666666"/>
      </bottom>
      <diagonal/>
    </border>
    <border>
      <left/>
      <right style="thin">
        <color rgb="FF666666"/>
      </right>
      <top style="thin">
        <color rgb="FF666666"/>
      </top>
      <bottom style="thin">
        <color rgb="FF666666"/>
      </bottom>
      <diagonal/>
    </border>
    <border>
      <left style="thin">
        <color rgb="FF666666"/>
      </left>
      <right style="thin">
        <color rgb="FF666666"/>
      </right>
      <top/>
      <bottom style="thin">
        <color rgb="FF666666"/>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666666"/>
      </left>
      <right style="thin">
        <color rgb="FF666666"/>
      </right>
      <top style="thin">
        <color rgb="FF666666"/>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rgb="FF666666"/>
      </left>
      <right/>
      <top style="thin">
        <color rgb="FF666666"/>
      </top>
      <bottom/>
      <diagonal/>
    </border>
    <border>
      <left/>
      <right style="thin">
        <color rgb="FF666666"/>
      </right>
      <top style="thin">
        <color rgb="FF666666"/>
      </top>
      <bottom/>
      <diagonal/>
    </border>
    <border>
      <left style="thin">
        <color rgb="FF666666"/>
      </left>
      <right/>
      <top/>
      <bottom style="thin">
        <color rgb="FF666666"/>
      </bottom>
      <diagonal/>
    </border>
    <border>
      <left/>
      <right style="thin">
        <color rgb="FF666666"/>
      </right>
      <top/>
      <bottom style="thin">
        <color rgb="FF666666"/>
      </bottom>
      <diagonal/>
    </border>
    <border>
      <left/>
      <right/>
      <top style="thin">
        <color rgb="FF666666"/>
      </top>
      <bottom/>
      <diagonal/>
    </border>
    <border>
      <left/>
      <right/>
      <top/>
      <bottom style="thin">
        <color rgb="FF666666"/>
      </bottom>
      <diagonal/>
    </border>
    <border diagonalUp="1">
      <left style="thin">
        <color rgb="FF666666"/>
      </left>
      <right style="thin">
        <color rgb="FF666666"/>
      </right>
      <top style="thin">
        <color rgb="FF666666"/>
      </top>
      <bottom style="thin">
        <color rgb="FF666666"/>
      </bottom>
      <diagonal style="thin">
        <color rgb="FF666666"/>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s>
  <cellStyleXfs count="90">
    <xf numFmtId="0" fontId="0" fillId="0" borderId="0"/>
    <xf numFmtId="164" fontId="2"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alignment vertical="top"/>
      <protection locked="0"/>
    </xf>
    <xf numFmtId="0" fontId="1" fillId="0" borderId="0"/>
    <xf numFmtId="0" fontId="17" fillId="11" borderId="0"/>
    <xf numFmtId="0" fontId="23"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4" fillId="17" borderId="0" applyNumberFormat="0" applyBorder="0" applyAlignment="0" applyProtection="0"/>
    <xf numFmtId="0" fontId="24" fillId="25"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3" fillId="15" borderId="0" applyNumberFormat="0" applyBorder="0" applyAlignment="0" applyProtection="0"/>
    <xf numFmtId="0" fontId="23"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3" fillId="31" borderId="0" applyNumberFormat="0" applyBorder="0" applyAlignment="0" applyProtection="0"/>
    <xf numFmtId="0" fontId="25" fillId="29" borderId="0" applyNumberFormat="0" applyBorder="0" applyAlignment="0" applyProtection="0"/>
    <xf numFmtId="0" fontId="26" fillId="32" borderId="40" applyNumberFormat="0" applyAlignment="0" applyProtection="0"/>
    <xf numFmtId="0" fontId="27" fillId="24" borderId="41" applyNumberFormat="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4" fillId="22" borderId="0" applyNumberFormat="0" applyBorder="0" applyAlignment="0" applyProtection="0"/>
    <xf numFmtId="0" fontId="29" fillId="0" borderId="42" applyNumberFormat="0" applyFill="0" applyAlignment="0" applyProtection="0"/>
    <xf numFmtId="0" fontId="30" fillId="0" borderId="43" applyNumberFormat="0" applyFill="0" applyAlignment="0" applyProtection="0"/>
    <xf numFmtId="0" fontId="31" fillId="0" borderId="44" applyNumberFormat="0" applyFill="0" applyAlignment="0" applyProtection="0"/>
    <xf numFmtId="0" fontId="31" fillId="0" borderId="0" applyNumberFormat="0" applyFill="0" applyBorder="0" applyAlignment="0" applyProtection="0"/>
    <xf numFmtId="0" fontId="32" fillId="30" borderId="40" applyNumberFormat="0" applyAlignment="0" applyProtection="0"/>
    <xf numFmtId="0" fontId="33" fillId="0" borderId="45" applyNumberFormat="0" applyFill="0" applyAlignment="0" applyProtection="0"/>
    <xf numFmtId="0" fontId="33" fillId="30" borderId="0" applyNumberFormat="0" applyBorder="0" applyAlignment="0" applyProtection="0"/>
    <xf numFmtId="0" fontId="3" fillId="29" borderId="40" applyNumberFormat="0" applyFont="0" applyAlignment="0" applyProtection="0"/>
    <xf numFmtId="0" fontId="34" fillId="32" borderId="46" applyNumberFormat="0" applyAlignment="0" applyProtection="0"/>
    <xf numFmtId="4" fontId="3" fillId="36" borderId="40" applyNumberFormat="0" applyProtection="0">
      <alignment vertical="center"/>
    </xf>
    <xf numFmtId="4" fontId="37" fillId="37" borderId="40" applyNumberFormat="0" applyProtection="0">
      <alignment vertical="center"/>
    </xf>
    <xf numFmtId="4" fontId="3" fillId="37" borderId="40" applyNumberFormat="0" applyProtection="0">
      <alignment horizontal="left" vertical="center" indent="1"/>
    </xf>
    <xf numFmtId="0" fontId="20" fillId="36" borderId="47" applyNumberFormat="0" applyProtection="0">
      <alignment horizontal="left" vertical="top" indent="1"/>
    </xf>
    <xf numFmtId="4" fontId="3" fillId="38" borderId="40" applyNumberFormat="0" applyProtection="0">
      <alignment horizontal="left" vertical="center" indent="1"/>
    </xf>
    <xf numFmtId="4" fontId="3" fillId="39" borderId="40" applyNumberFormat="0" applyProtection="0">
      <alignment horizontal="right" vertical="center"/>
    </xf>
    <xf numFmtId="4" fontId="3" fillId="40" borderId="40" applyNumberFormat="0" applyProtection="0">
      <alignment horizontal="right" vertical="center"/>
    </xf>
    <xf numFmtId="4" fontId="3" fillId="41" borderId="48" applyNumberFormat="0" applyProtection="0">
      <alignment horizontal="right" vertical="center"/>
    </xf>
    <xf numFmtId="4" fontId="3" fillId="42" borderId="40" applyNumberFormat="0" applyProtection="0">
      <alignment horizontal="right" vertical="center"/>
    </xf>
    <xf numFmtId="4" fontId="3" fillId="43" borderId="40" applyNumberFormat="0" applyProtection="0">
      <alignment horizontal="right" vertical="center"/>
    </xf>
    <xf numFmtId="4" fontId="3" fillId="44" borderId="40" applyNumberFormat="0" applyProtection="0">
      <alignment horizontal="right" vertical="center"/>
    </xf>
    <xf numFmtId="4" fontId="3" fillId="45" borderId="40" applyNumberFormat="0" applyProtection="0">
      <alignment horizontal="right" vertical="center"/>
    </xf>
    <xf numFmtId="4" fontId="3" fillId="46" borderId="40" applyNumberFormat="0" applyProtection="0">
      <alignment horizontal="right" vertical="center"/>
    </xf>
    <xf numFmtId="4" fontId="3" fillId="47" borderId="40" applyNumberFormat="0" applyProtection="0">
      <alignment horizontal="right" vertical="center"/>
    </xf>
    <xf numFmtId="4" fontId="3" fillId="48" borderId="48" applyNumberFormat="0" applyProtection="0">
      <alignment horizontal="left" vertical="center" indent="1"/>
    </xf>
    <xf numFmtId="4" fontId="2" fillId="49" borderId="48" applyNumberFormat="0" applyProtection="0">
      <alignment horizontal="left" vertical="center" indent="1"/>
    </xf>
    <xf numFmtId="4" fontId="2" fillId="49" borderId="48" applyNumberFormat="0" applyProtection="0">
      <alignment horizontal="left" vertical="center" indent="1"/>
    </xf>
    <xf numFmtId="4" fontId="3" fillId="50" borderId="40" applyNumberFormat="0" applyProtection="0">
      <alignment horizontal="right" vertical="center"/>
    </xf>
    <xf numFmtId="4" fontId="3" fillId="51" borderId="48" applyNumberFormat="0" applyProtection="0">
      <alignment horizontal="left" vertical="center" indent="1"/>
    </xf>
    <xf numFmtId="4" fontId="3" fillId="50" borderId="48" applyNumberFormat="0" applyProtection="0">
      <alignment horizontal="left" vertical="center" indent="1"/>
    </xf>
    <xf numFmtId="0" fontId="3" fillId="52" borderId="40" applyNumberFormat="0" applyProtection="0">
      <alignment horizontal="left" vertical="center" indent="1"/>
    </xf>
    <xf numFmtId="0" fontId="3" fillId="49" borderId="47" applyNumberFormat="0" applyProtection="0">
      <alignment horizontal="left" vertical="top" indent="1"/>
    </xf>
    <xf numFmtId="0" fontId="3" fillId="53" borderId="40" applyNumberFormat="0" applyProtection="0">
      <alignment horizontal="left" vertical="center" indent="1"/>
    </xf>
    <xf numFmtId="0" fontId="3" fillId="50" borderId="47" applyNumberFormat="0" applyProtection="0">
      <alignment horizontal="left" vertical="top" indent="1"/>
    </xf>
    <xf numFmtId="0" fontId="3" fillId="54" borderId="40" applyNumberFormat="0" applyProtection="0">
      <alignment horizontal="left" vertical="center" indent="1"/>
    </xf>
    <xf numFmtId="0" fontId="3" fillId="54" borderId="47" applyNumberFormat="0" applyProtection="0">
      <alignment horizontal="left" vertical="top" indent="1"/>
    </xf>
    <xf numFmtId="0" fontId="3" fillId="51" borderId="40" applyNumberFormat="0" applyProtection="0">
      <alignment horizontal="left" vertical="center" indent="1"/>
    </xf>
    <xf numFmtId="0" fontId="3" fillId="51" borderId="47" applyNumberFormat="0" applyProtection="0">
      <alignment horizontal="left" vertical="top" indent="1"/>
    </xf>
    <xf numFmtId="0" fontId="3" fillId="55" borderId="49" applyNumberFormat="0">
      <protection locked="0"/>
    </xf>
    <xf numFmtId="0" fontId="18" fillId="49" borderId="50" applyBorder="0"/>
    <xf numFmtId="4" fontId="19" fillId="56" borderId="47" applyNumberFormat="0" applyProtection="0">
      <alignment vertical="center"/>
    </xf>
    <xf numFmtId="4" fontId="37" fillId="57" borderId="7" applyNumberFormat="0" applyProtection="0">
      <alignment vertical="center"/>
    </xf>
    <xf numFmtId="4" fontId="19" fillId="52" borderId="47" applyNumberFormat="0" applyProtection="0">
      <alignment horizontal="left" vertical="center" indent="1"/>
    </xf>
    <xf numFmtId="0" fontId="19" fillId="56" borderId="47" applyNumberFormat="0" applyProtection="0">
      <alignment horizontal="left" vertical="top" indent="1"/>
    </xf>
    <xf numFmtId="4" fontId="3" fillId="0" borderId="40" applyNumberFormat="0" applyProtection="0">
      <alignment horizontal="right" vertical="center"/>
    </xf>
    <xf numFmtId="4" fontId="37" fillId="58" borderId="40" applyNumberFormat="0" applyProtection="0">
      <alignment horizontal="right" vertical="center"/>
    </xf>
    <xf numFmtId="4" fontId="3" fillId="38" borderId="40" applyNumberFormat="0" applyProtection="0">
      <alignment horizontal="left" vertical="center" indent="1"/>
    </xf>
    <xf numFmtId="0" fontId="19" fillId="50" borderId="47" applyNumberFormat="0" applyProtection="0">
      <alignment horizontal="left" vertical="top" indent="1"/>
    </xf>
    <xf numFmtId="4" fontId="21" fillId="59" borderId="48" applyNumberFormat="0" applyProtection="0">
      <alignment horizontal="left" vertical="center" indent="1"/>
    </xf>
    <xf numFmtId="0" fontId="3" fillId="60" borderId="7"/>
    <xf numFmtId="4" fontId="22" fillId="55" borderId="40" applyNumberFormat="0" applyProtection="0">
      <alignment horizontal="right" vertical="center"/>
    </xf>
    <xf numFmtId="0" fontId="35" fillId="0" borderId="0" applyNumberFormat="0" applyFill="0" applyBorder="0" applyAlignment="0" applyProtection="0"/>
    <xf numFmtId="0" fontId="28" fillId="0" borderId="51" applyNumberFormat="0" applyFill="0" applyAlignment="0" applyProtection="0"/>
    <xf numFmtId="0" fontId="36" fillId="0" borderId="0" applyNumberFormat="0" applyFill="0" applyBorder="0" applyAlignment="0" applyProtection="0"/>
  </cellStyleXfs>
  <cellXfs count="256">
    <xf numFmtId="0" fontId="0" fillId="0" borderId="0" xfId="0"/>
    <xf numFmtId="0" fontId="4" fillId="2" borderId="0" xfId="0" applyFont="1" applyFill="1" applyAlignment="1">
      <alignment vertical="center" wrapText="1"/>
    </xf>
    <xf numFmtId="0" fontId="5" fillId="2" borderId="0" xfId="0" applyFont="1" applyFill="1" applyAlignment="1">
      <alignment vertical="center" wrapText="1"/>
    </xf>
    <xf numFmtId="1" fontId="5" fillId="2" borderId="0" xfId="0" applyNumberFormat="1" applyFont="1" applyFill="1" applyAlignment="1">
      <alignment vertical="center" wrapText="1"/>
    </xf>
    <xf numFmtId="0" fontId="6" fillId="2" borderId="0" xfId="0" applyFont="1" applyFill="1" applyAlignment="1">
      <alignment horizontal="center" vertical="center" wrapText="1"/>
    </xf>
    <xf numFmtId="166" fontId="5" fillId="2" borderId="0" xfId="0" applyNumberFormat="1" applyFont="1" applyFill="1" applyAlignment="1">
      <alignment vertical="center" wrapText="1"/>
    </xf>
    <xf numFmtId="164" fontId="5" fillId="2" borderId="0" xfId="1" applyFont="1" applyFill="1" applyAlignment="1" applyProtection="1">
      <alignment vertical="center" wrapText="1"/>
    </xf>
    <xf numFmtId="164" fontId="5" fillId="2" borderId="0" xfId="0" applyNumberFormat="1" applyFont="1" applyFill="1" applyAlignment="1">
      <alignment vertical="center" wrapText="1"/>
    </xf>
    <xf numFmtId="0" fontId="6" fillId="2" borderId="0" xfId="0" applyFont="1" applyFill="1" applyAlignment="1">
      <alignment vertical="center" wrapText="1"/>
    </xf>
    <xf numFmtId="0" fontId="5" fillId="2" borderId="4" xfId="0" applyFont="1" applyFill="1" applyBorder="1" applyAlignment="1" applyProtection="1">
      <alignment horizontal="left" vertical="center" wrapText="1"/>
      <protection hidden="1"/>
    </xf>
    <xf numFmtId="0" fontId="5" fillId="2" borderId="3" xfId="0" applyFont="1" applyFill="1" applyBorder="1" applyAlignment="1" applyProtection="1">
      <alignment horizontal="left" vertical="center" wrapText="1"/>
      <protection hidden="1"/>
    </xf>
    <xf numFmtId="0" fontId="5" fillId="2" borderId="1" xfId="0" applyFont="1" applyFill="1" applyBorder="1" applyAlignment="1" applyProtection="1">
      <alignment horizontal="left" vertical="center" wrapText="1"/>
      <protection hidden="1"/>
    </xf>
    <xf numFmtId="0" fontId="5" fillId="2" borderId="0" xfId="0" applyFont="1" applyFill="1" applyAlignment="1">
      <alignment horizontal="left" vertical="top" wrapText="1"/>
    </xf>
    <xf numFmtId="0" fontId="7" fillId="2" borderId="0" xfId="0" applyFont="1" applyFill="1" applyAlignment="1">
      <alignment horizontal="left" vertical="top"/>
    </xf>
    <xf numFmtId="1" fontId="5" fillId="2" borderId="0" xfId="0" applyNumberFormat="1" applyFont="1" applyFill="1" applyAlignment="1">
      <alignment horizontal="left" vertical="top" wrapText="1"/>
    </xf>
    <xf numFmtId="4" fontId="5" fillId="2" borderId="0" xfId="0" applyNumberFormat="1" applyFont="1" applyFill="1" applyAlignment="1">
      <alignment vertical="center" wrapText="1"/>
    </xf>
    <xf numFmtId="49" fontId="5" fillId="2" borderId="7" xfId="0" applyNumberFormat="1" applyFont="1" applyFill="1" applyBorder="1" applyAlignment="1">
      <alignment vertical="center"/>
    </xf>
    <xf numFmtId="0" fontId="5" fillId="2" borderId="6" xfId="0" applyFont="1" applyFill="1" applyBorder="1" applyAlignment="1">
      <alignment vertical="center"/>
    </xf>
    <xf numFmtId="0" fontId="5" fillId="2" borderId="0" xfId="0" applyFont="1" applyFill="1" applyAlignment="1">
      <alignment vertical="center"/>
    </xf>
    <xf numFmtId="1" fontId="5" fillId="2" borderId="0" xfId="0" applyNumberFormat="1" applyFont="1" applyFill="1" applyAlignment="1">
      <alignment vertical="center"/>
    </xf>
    <xf numFmtId="0" fontId="6" fillId="3" borderId="7" xfId="0" applyFont="1" applyFill="1" applyBorder="1" applyAlignment="1">
      <alignment horizontal="center" vertical="center" wrapText="1"/>
    </xf>
    <xf numFmtId="4" fontId="6" fillId="3" borderId="7" xfId="0" applyNumberFormat="1" applyFont="1" applyFill="1" applyBorder="1" applyAlignment="1">
      <alignment horizontal="center" vertical="center" wrapText="1"/>
    </xf>
    <xf numFmtId="165" fontId="6" fillId="3" borderId="7" xfId="0" applyNumberFormat="1" applyFont="1" applyFill="1" applyBorder="1" applyAlignment="1">
      <alignment horizontal="center" vertical="center" wrapText="1"/>
    </xf>
    <xf numFmtId="0" fontId="5" fillId="2" borderId="7" xfId="0" applyFont="1" applyFill="1" applyBorder="1" applyAlignment="1" applyProtection="1">
      <alignment horizontal="left" vertical="center" wrapText="1"/>
      <protection hidden="1"/>
    </xf>
    <xf numFmtId="4" fontId="5" fillId="2" borderId="7" xfId="0" applyNumberFormat="1" applyFont="1" applyFill="1" applyBorder="1" applyAlignment="1" applyProtection="1">
      <alignment horizontal="left" vertical="center" wrapText="1"/>
      <protection hidden="1"/>
    </xf>
    <xf numFmtId="165" fontId="5" fillId="2" borderId="7" xfId="0" applyNumberFormat="1" applyFont="1" applyFill="1" applyBorder="1"/>
    <xf numFmtId="0" fontId="5" fillId="2" borderId="0" xfId="0" applyFont="1" applyFill="1"/>
    <xf numFmtId="165" fontId="5" fillId="2" borderId="9" xfId="0" applyNumberFormat="1" applyFont="1" applyFill="1" applyBorder="1"/>
    <xf numFmtId="0" fontId="5" fillId="2" borderId="10" xfId="0" applyFont="1" applyFill="1" applyBorder="1" applyAlignment="1" applyProtection="1">
      <alignment horizontal="left" vertical="center" wrapText="1"/>
      <protection hidden="1"/>
    </xf>
    <xf numFmtId="4" fontId="5" fillId="2" borderId="3" xfId="0" applyNumberFormat="1" applyFont="1" applyFill="1" applyBorder="1" applyAlignment="1" applyProtection="1">
      <alignment horizontal="left" vertical="center" wrapText="1"/>
      <protection hidden="1"/>
    </xf>
    <xf numFmtId="165" fontId="5" fillId="2" borderId="3" xfId="0" applyNumberFormat="1" applyFont="1" applyFill="1" applyBorder="1"/>
    <xf numFmtId="0" fontId="5" fillId="2" borderId="5" xfId="0" applyFont="1" applyFill="1" applyBorder="1" applyAlignment="1" applyProtection="1">
      <alignment horizontal="left" vertical="center" wrapText="1"/>
      <protection hidden="1"/>
    </xf>
    <xf numFmtId="4" fontId="5" fillId="2" borderId="5" xfId="0" applyNumberFormat="1" applyFont="1" applyFill="1" applyBorder="1" applyAlignment="1" applyProtection="1">
      <alignment horizontal="left" vertical="center" wrapText="1"/>
      <protection hidden="1"/>
    </xf>
    <xf numFmtId="165" fontId="5" fillId="2" borderId="1" xfId="0" applyNumberFormat="1" applyFont="1" applyFill="1" applyBorder="1"/>
    <xf numFmtId="165" fontId="5" fillId="2" borderId="2" xfId="0" applyNumberFormat="1" applyFont="1" applyFill="1" applyBorder="1"/>
    <xf numFmtId="4" fontId="5" fillId="2" borderId="1" xfId="0" applyNumberFormat="1" applyFont="1" applyFill="1" applyBorder="1" applyAlignment="1" applyProtection="1">
      <alignment horizontal="left" vertical="center" wrapText="1"/>
      <protection hidden="1"/>
    </xf>
    <xf numFmtId="0" fontId="5" fillId="2" borderId="9" xfId="0" applyFont="1" applyFill="1" applyBorder="1" applyAlignment="1" applyProtection="1">
      <alignment horizontal="left" vertical="center" wrapText="1"/>
      <protection hidden="1"/>
    </xf>
    <xf numFmtId="4" fontId="5" fillId="2" borderId="9" xfId="0" applyNumberFormat="1" applyFont="1" applyFill="1" applyBorder="1" applyAlignment="1" applyProtection="1">
      <alignment horizontal="left" vertical="center" wrapText="1"/>
      <protection hidden="1"/>
    </xf>
    <xf numFmtId="165" fontId="5" fillId="2" borderId="5" xfId="0" applyNumberFormat="1" applyFont="1" applyFill="1" applyBorder="1"/>
    <xf numFmtId="0" fontId="5" fillId="2" borderId="11" xfId="0" applyFont="1" applyFill="1" applyBorder="1" applyAlignment="1" applyProtection="1">
      <alignment horizontal="left" vertical="center" wrapText="1"/>
      <protection hidden="1"/>
    </xf>
    <xf numFmtId="4" fontId="5" fillId="2" borderId="11" xfId="0" applyNumberFormat="1" applyFont="1" applyFill="1" applyBorder="1" applyAlignment="1" applyProtection="1">
      <alignment horizontal="left" vertical="center" wrapText="1"/>
      <protection hidden="1"/>
    </xf>
    <xf numFmtId="4" fontId="5" fillId="2" borderId="0" xfId="0" applyNumberFormat="1" applyFont="1" applyFill="1"/>
    <xf numFmtId="165" fontId="5" fillId="2" borderId="0" xfId="0" applyNumberFormat="1" applyFont="1" applyFill="1"/>
    <xf numFmtId="10" fontId="5" fillId="2" borderId="8" xfId="2" applyNumberFormat="1" applyFont="1" applyFill="1" applyBorder="1" applyAlignment="1" applyProtection="1">
      <alignment horizontal="center" vertical="center"/>
    </xf>
    <xf numFmtId="4" fontId="5" fillId="4" borderId="7" xfId="0" applyNumberFormat="1" applyFont="1" applyFill="1" applyBorder="1"/>
    <xf numFmtId="4" fontId="5" fillId="4" borderId="4" xfId="0" applyNumberFormat="1" applyFont="1" applyFill="1" applyBorder="1"/>
    <xf numFmtId="4" fontId="5" fillId="4" borderId="3" xfId="0" applyNumberFormat="1" applyFont="1" applyFill="1" applyBorder="1"/>
    <xf numFmtId="4" fontId="5" fillId="4" borderId="1" xfId="0" applyNumberFormat="1" applyFont="1" applyFill="1" applyBorder="1"/>
    <xf numFmtId="4" fontId="5" fillId="4" borderId="2" xfId="0" applyNumberFormat="1" applyFont="1" applyFill="1" applyBorder="1"/>
    <xf numFmtId="4" fontId="5" fillId="4" borderId="9" xfId="0" applyNumberFormat="1" applyFont="1" applyFill="1" applyBorder="1"/>
    <xf numFmtId="4" fontId="5" fillId="4" borderId="5" xfId="0" applyNumberFormat="1" applyFont="1" applyFill="1" applyBorder="1"/>
    <xf numFmtId="4" fontId="5" fillId="4" borderId="11" xfId="0" applyNumberFormat="1" applyFont="1" applyFill="1" applyBorder="1"/>
    <xf numFmtId="0" fontId="4" fillId="2" borderId="0" xfId="0" applyFont="1" applyFill="1" applyAlignment="1">
      <alignment vertical="center"/>
    </xf>
    <xf numFmtId="10" fontId="5" fillId="2" borderId="12" xfId="2" applyNumberFormat="1" applyFont="1" applyFill="1" applyBorder="1" applyAlignment="1" applyProtection="1">
      <alignment vertical="center" wrapText="1"/>
      <protection hidden="1"/>
    </xf>
    <xf numFmtId="168" fontId="5" fillId="2" borderId="13" xfId="0" applyNumberFormat="1" applyFont="1" applyFill="1" applyBorder="1" applyAlignment="1" applyProtection="1">
      <alignment horizontal="center" vertical="center" wrapText="1"/>
      <protection hidden="1"/>
    </xf>
    <xf numFmtId="0" fontId="6" fillId="6" borderId="7" xfId="0" applyFont="1" applyFill="1" applyBorder="1" applyAlignment="1">
      <alignment horizontal="center" vertical="center"/>
    </xf>
    <xf numFmtId="0" fontId="10" fillId="2" borderId="0" xfId="0" applyFont="1" applyFill="1" applyAlignment="1">
      <alignment vertical="center"/>
    </xf>
    <xf numFmtId="0" fontId="11" fillId="2" borderId="0" xfId="0" applyFont="1" applyFill="1" applyAlignment="1">
      <alignment vertical="center"/>
    </xf>
    <xf numFmtId="0" fontId="11" fillId="2" borderId="0" xfId="0" applyFont="1" applyFill="1" applyAlignment="1">
      <alignment vertical="center" wrapText="1"/>
    </xf>
    <xf numFmtId="1" fontId="11" fillId="2" borderId="0" xfId="0" applyNumberFormat="1" applyFont="1" applyFill="1" applyAlignment="1">
      <alignment vertical="center" wrapText="1"/>
    </xf>
    <xf numFmtId="0" fontId="10" fillId="2" borderId="0" xfId="0" applyFont="1" applyFill="1" applyAlignment="1">
      <alignment vertical="center" wrapText="1"/>
    </xf>
    <xf numFmtId="0" fontId="11" fillId="0" borderId="0" xfId="0" applyFont="1" applyAlignment="1" applyProtection="1">
      <alignment vertical="center" wrapText="1"/>
      <protection locked="0"/>
    </xf>
    <xf numFmtId="0" fontId="10" fillId="2" borderId="0" xfId="0" applyFont="1" applyFill="1" applyAlignment="1">
      <alignment horizontal="left" vertical="center" wrapText="1"/>
    </xf>
    <xf numFmtId="0" fontId="11" fillId="2" borderId="0" xfId="0" applyFont="1" applyFill="1" applyAlignment="1">
      <alignment horizontal="left" vertical="center" wrapText="1"/>
    </xf>
    <xf numFmtId="1" fontId="11" fillId="2" borderId="0" xfId="0" applyNumberFormat="1" applyFont="1" applyFill="1" applyAlignment="1">
      <alignment horizontal="left" vertical="center" wrapText="1"/>
    </xf>
    <xf numFmtId="0" fontId="11" fillId="2" borderId="0" xfId="0" applyFont="1" applyFill="1" applyAlignment="1">
      <alignment horizontal="left" vertical="center" wrapText="1" indent="1"/>
    </xf>
    <xf numFmtId="1" fontId="11" fillId="2" borderId="0" xfId="0" applyNumberFormat="1" applyFont="1" applyFill="1" applyAlignment="1">
      <alignment horizontal="left" vertical="center" wrapText="1" indent="1"/>
    </xf>
    <xf numFmtId="0" fontId="10" fillId="2" borderId="0" xfId="0" applyFont="1" applyFill="1" applyAlignment="1">
      <alignment horizontal="left" vertical="center" wrapText="1" indent="1"/>
    </xf>
    <xf numFmtId="0" fontId="11" fillId="0" borderId="0" xfId="0" applyFont="1" applyAlignment="1" applyProtection="1">
      <alignment vertical="center"/>
      <protection locked="0"/>
    </xf>
    <xf numFmtId="0" fontId="5" fillId="2" borderId="7" xfId="0" applyFont="1" applyFill="1" applyBorder="1"/>
    <xf numFmtId="0" fontId="6" fillId="5" borderId="7" xfId="0" applyFont="1" applyFill="1" applyBorder="1"/>
    <xf numFmtId="0" fontId="5" fillId="2" borderId="4" xfId="0" applyFont="1" applyFill="1" applyBorder="1"/>
    <xf numFmtId="0" fontId="5" fillId="2" borderId="10" xfId="0" applyFont="1" applyFill="1" applyBorder="1"/>
    <xf numFmtId="0" fontId="5" fillId="2" borderId="5" xfId="0" applyFont="1" applyFill="1" applyBorder="1"/>
    <xf numFmtId="4" fontId="5" fillId="2" borderId="2" xfId="0" applyNumberFormat="1" applyFont="1" applyFill="1" applyBorder="1" applyAlignment="1" applyProtection="1">
      <alignment horizontal="left" vertical="center" wrapText="1"/>
      <protection hidden="1"/>
    </xf>
    <xf numFmtId="164" fontId="6" fillId="2" borderId="0" xfId="1" applyFont="1" applyFill="1" applyAlignment="1" applyProtection="1">
      <alignment vertical="center" wrapText="1"/>
    </xf>
    <xf numFmtId="164" fontId="6" fillId="2" borderId="0" xfId="0" applyNumberFormat="1" applyFont="1" applyFill="1" applyAlignment="1">
      <alignment vertical="center" wrapText="1"/>
    </xf>
    <xf numFmtId="4" fontId="5" fillId="4" borderId="10" xfId="0" applyNumberFormat="1" applyFont="1" applyFill="1" applyBorder="1"/>
    <xf numFmtId="4" fontId="5" fillId="2" borderId="12" xfId="0" applyNumberFormat="1" applyFont="1" applyFill="1" applyBorder="1" applyAlignment="1" applyProtection="1">
      <alignment horizontal="left" vertical="center" wrapText="1" indent="1"/>
      <protection hidden="1"/>
    </xf>
    <xf numFmtId="0" fontId="5" fillId="0" borderId="0" xfId="0" applyFont="1"/>
    <xf numFmtId="14" fontId="11" fillId="7" borderId="12" xfId="0" applyNumberFormat="1" applyFont="1" applyFill="1" applyBorder="1" applyAlignment="1" applyProtection="1">
      <alignment vertical="center" wrapText="1"/>
      <protection locked="0"/>
    </xf>
    <xf numFmtId="166" fontId="5" fillId="7" borderId="12" xfId="0" applyNumberFormat="1" applyFont="1" applyFill="1" applyBorder="1" applyAlignment="1" applyProtection="1">
      <alignment horizontal="center" vertical="center" wrapText="1"/>
      <protection locked="0" hidden="1"/>
    </xf>
    <xf numFmtId="2" fontId="5" fillId="7" borderId="12" xfId="0" applyNumberFormat="1" applyFont="1" applyFill="1" applyBorder="1" applyAlignment="1" applyProtection="1">
      <alignment vertical="center" wrapText="1"/>
      <protection locked="0" hidden="1"/>
    </xf>
    <xf numFmtId="4" fontId="11" fillId="7" borderId="12" xfId="0" applyNumberFormat="1" applyFont="1" applyFill="1" applyBorder="1" applyAlignment="1" applyProtection="1">
      <alignment vertical="center" wrapText="1"/>
      <protection locked="0"/>
    </xf>
    <xf numFmtId="0" fontId="14" fillId="8" borderId="12" xfId="0" applyFont="1" applyFill="1" applyBorder="1" applyAlignment="1" applyProtection="1">
      <alignment horizontal="left" vertical="center" wrapText="1"/>
      <protection hidden="1"/>
    </xf>
    <xf numFmtId="4" fontId="14" fillId="8" borderId="12" xfId="0" applyNumberFormat="1" applyFont="1" applyFill="1" applyBorder="1" applyAlignment="1" applyProtection="1">
      <alignment horizontal="left" vertical="center" wrapText="1"/>
      <protection hidden="1"/>
    </xf>
    <xf numFmtId="166" fontId="14" fillId="8" borderId="12" xfId="0" applyNumberFormat="1" applyFont="1" applyFill="1" applyBorder="1" applyAlignment="1" applyProtection="1">
      <alignment horizontal="center" vertical="center" wrapText="1"/>
      <protection hidden="1"/>
    </xf>
    <xf numFmtId="2" fontId="14" fillId="8" borderId="12" xfId="0" applyNumberFormat="1" applyFont="1" applyFill="1" applyBorder="1" applyAlignment="1" applyProtection="1">
      <alignment vertical="center" wrapText="1"/>
      <protection hidden="1"/>
    </xf>
    <xf numFmtId="4" fontId="14" fillId="8" borderId="19" xfId="0" applyNumberFormat="1" applyFont="1" applyFill="1" applyBorder="1" applyAlignment="1" applyProtection="1">
      <alignment vertical="center" wrapText="1"/>
      <protection hidden="1"/>
    </xf>
    <xf numFmtId="4" fontId="14" fillId="8" borderId="18" xfId="0" applyNumberFormat="1" applyFont="1" applyFill="1" applyBorder="1" applyAlignment="1" applyProtection="1">
      <alignment vertical="center" wrapText="1"/>
      <protection hidden="1"/>
    </xf>
    <xf numFmtId="1" fontId="13" fillId="6" borderId="21" xfId="0" applyNumberFormat="1" applyFont="1" applyFill="1" applyBorder="1" applyAlignment="1" applyProtection="1">
      <alignment horizontal="center" vertical="center" wrapText="1"/>
      <protection hidden="1"/>
    </xf>
    <xf numFmtId="169" fontId="13" fillId="6" borderId="21" xfId="0" applyNumberFormat="1" applyFont="1" applyFill="1" applyBorder="1" applyAlignment="1" applyProtection="1">
      <alignment horizontal="center" vertical="center" wrapText="1"/>
      <protection hidden="1"/>
    </xf>
    <xf numFmtId="4" fontId="5" fillId="2" borderId="12" xfId="0" applyNumberFormat="1" applyFont="1" applyFill="1" applyBorder="1" applyAlignment="1" applyProtection="1">
      <alignment horizontal="right" vertical="center" wrapText="1"/>
      <protection hidden="1"/>
    </xf>
    <xf numFmtId="4" fontId="14" fillId="8" borderId="12" xfId="0" applyNumberFormat="1" applyFont="1" applyFill="1" applyBorder="1" applyAlignment="1" applyProtection="1">
      <alignment horizontal="right" vertical="center" wrapText="1"/>
      <protection hidden="1"/>
    </xf>
    <xf numFmtId="165" fontId="5" fillId="2" borderId="12" xfId="2" applyNumberFormat="1" applyFont="1" applyFill="1" applyBorder="1" applyAlignment="1" applyProtection="1">
      <alignment horizontal="right" vertical="center" wrapText="1"/>
      <protection hidden="1"/>
    </xf>
    <xf numFmtId="10" fontId="5" fillId="2" borderId="12" xfId="2" applyNumberFormat="1" applyFont="1" applyFill="1" applyBorder="1" applyAlignment="1" applyProtection="1">
      <alignment horizontal="right" vertical="center" wrapText="1"/>
      <protection hidden="1"/>
    </xf>
    <xf numFmtId="167" fontId="14" fillId="8" borderId="12" xfId="2" applyNumberFormat="1" applyFont="1" applyFill="1" applyBorder="1" applyAlignment="1" applyProtection="1">
      <alignment horizontal="right" vertical="center" wrapText="1"/>
      <protection hidden="1"/>
    </xf>
    <xf numFmtId="4" fontId="5" fillId="9" borderId="12" xfId="0" applyNumberFormat="1" applyFont="1" applyFill="1" applyBorder="1" applyAlignment="1" applyProtection="1">
      <alignment horizontal="right" vertical="center" wrapText="1"/>
      <protection hidden="1"/>
    </xf>
    <xf numFmtId="167" fontId="5" fillId="8" borderId="12" xfId="2" applyNumberFormat="1" applyFont="1" applyFill="1" applyBorder="1" applyAlignment="1" applyProtection="1">
      <alignment horizontal="left" vertical="center" wrapText="1"/>
      <protection hidden="1"/>
    </xf>
    <xf numFmtId="0" fontId="5" fillId="2" borderId="12" xfId="0" applyFont="1" applyFill="1" applyBorder="1" applyAlignment="1" applyProtection="1">
      <alignment horizontal="left" vertical="center" wrapText="1" indent="1"/>
      <protection hidden="1"/>
    </xf>
    <xf numFmtId="0" fontId="8" fillId="2" borderId="0" xfId="0" applyFont="1" applyFill="1" applyAlignment="1">
      <alignment vertical="center"/>
    </xf>
    <xf numFmtId="0" fontId="9" fillId="10" borderId="12" xfId="0" applyFont="1" applyFill="1" applyBorder="1" applyAlignment="1" applyProtection="1">
      <alignment vertical="center" wrapText="1"/>
      <protection hidden="1"/>
    </xf>
    <xf numFmtId="0" fontId="9" fillId="10" borderId="18" xfId="0" applyFont="1" applyFill="1" applyBorder="1" applyAlignment="1" applyProtection="1">
      <alignment vertical="center" wrapText="1"/>
      <protection hidden="1"/>
    </xf>
    <xf numFmtId="0" fontId="5" fillId="2" borderId="12" xfId="0" applyFont="1" applyFill="1" applyBorder="1" applyAlignment="1" applyProtection="1">
      <alignment horizontal="center" vertical="center" wrapText="1"/>
      <protection hidden="1"/>
    </xf>
    <xf numFmtId="0" fontId="5" fillId="9" borderId="21" xfId="0" applyFont="1" applyFill="1" applyBorder="1" applyAlignment="1" applyProtection="1">
      <alignment horizontal="center" vertical="center" wrapText="1"/>
      <protection hidden="1"/>
    </xf>
    <xf numFmtId="0" fontId="5" fillId="8" borderId="12" xfId="0" applyFont="1" applyFill="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9" fillId="10" borderId="18" xfId="0" applyFont="1" applyFill="1" applyBorder="1" applyAlignment="1" applyProtection="1">
      <alignment horizontal="center" vertical="center" wrapText="1"/>
      <protection hidden="1"/>
    </xf>
    <xf numFmtId="0" fontId="5" fillId="2" borderId="0" xfId="0" applyFont="1" applyFill="1" applyAlignment="1">
      <alignment horizontal="center" vertical="center" wrapText="1"/>
    </xf>
    <xf numFmtId="0" fontId="14" fillId="8" borderId="18" xfId="0" applyFont="1" applyFill="1" applyBorder="1" applyAlignment="1" applyProtection="1">
      <alignment horizontal="center" vertical="center" wrapText="1"/>
      <protection hidden="1"/>
    </xf>
    <xf numFmtId="165" fontId="5" fillId="2" borderId="31" xfId="0" applyNumberFormat="1" applyFont="1" applyFill="1" applyBorder="1"/>
    <xf numFmtId="165" fontId="5" fillId="2" borderId="32" xfId="0" applyNumberFormat="1" applyFont="1" applyFill="1" applyBorder="1"/>
    <xf numFmtId="10" fontId="5" fillId="0" borderId="12" xfId="2" applyNumberFormat="1" applyFont="1" applyFill="1" applyBorder="1" applyAlignment="1" applyProtection="1">
      <alignment horizontal="right" vertical="center" wrapText="1"/>
      <protection hidden="1"/>
    </xf>
    <xf numFmtId="170" fontId="5" fillId="0" borderId="12" xfId="2" applyNumberFormat="1" applyFont="1" applyFill="1" applyBorder="1" applyAlignment="1" applyProtection="1">
      <alignment horizontal="right" vertical="center" wrapText="1"/>
      <protection hidden="1"/>
    </xf>
    <xf numFmtId="170" fontId="5" fillId="2" borderId="12" xfId="2" applyNumberFormat="1" applyFont="1" applyFill="1" applyBorder="1" applyAlignment="1" applyProtection="1">
      <alignment horizontal="right" vertical="center" wrapText="1"/>
      <protection hidden="1"/>
    </xf>
    <xf numFmtId="4" fontId="11" fillId="2" borderId="0" xfId="0" applyNumberFormat="1" applyFont="1" applyFill="1" applyAlignment="1">
      <alignment vertical="center" wrapText="1"/>
    </xf>
    <xf numFmtId="0" fontId="5" fillId="0" borderId="12" xfId="0" applyFont="1" applyBorder="1" applyAlignment="1" applyProtection="1">
      <alignment horizontal="left" vertical="center" wrapText="1" indent="1"/>
      <protection hidden="1"/>
    </xf>
    <xf numFmtId="166" fontId="13" fillId="6" borderId="12" xfId="0" applyNumberFormat="1" applyFont="1" applyFill="1" applyBorder="1" applyAlignment="1" applyProtection="1">
      <alignment vertical="center" wrapText="1"/>
      <protection hidden="1"/>
    </xf>
    <xf numFmtId="166" fontId="14" fillId="8" borderId="12" xfId="0" applyNumberFormat="1" applyFont="1" applyFill="1" applyBorder="1" applyAlignment="1" applyProtection="1">
      <alignment vertical="center" wrapText="1"/>
      <protection hidden="1"/>
    </xf>
    <xf numFmtId="166" fontId="5" fillId="2" borderId="12" xfId="0" applyNumberFormat="1" applyFont="1" applyFill="1" applyBorder="1" applyAlignment="1" applyProtection="1">
      <alignment vertical="center" wrapText="1"/>
      <protection hidden="1"/>
    </xf>
    <xf numFmtId="166" fontId="6" fillId="8" borderId="12" xfId="0" applyNumberFormat="1" applyFont="1" applyFill="1" applyBorder="1" applyAlignment="1" applyProtection="1">
      <alignment vertical="center" wrapText="1"/>
      <protection hidden="1"/>
    </xf>
    <xf numFmtId="4" fontId="5" fillId="2" borderId="18" xfId="0" applyNumberFormat="1" applyFont="1" applyFill="1" applyBorder="1" applyAlignment="1" applyProtection="1">
      <alignment vertical="center" wrapText="1"/>
      <protection hidden="1"/>
    </xf>
    <xf numFmtId="4" fontId="5" fillId="8" borderId="18" xfId="0" applyNumberFormat="1" applyFont="1" applyFill="1" applyBorder="1" applyAlignment="1" applyProtection="1">
      <alignment vertical="center" wrapText="1"/>
      <protection hidden="1"/>
    </xf>
    <xf numFmtId="4" fontId="5" fillId="8" borderId="19" xfId="0" applyNumberFormat="1" applyFont="1" applyFill="1" applyBorder="1" applyAlignment="1" applyProtection="1">
      <alignment vertical="center" wrapText="1"/>
      <protection hidden="1"/>
    </xf>
    <xf numFmtId="167" fontId="14" fillId="8" borderId="39" xfId="2" applyNumberFormat="1" applyFont="1" applyFill="1" applyBorder="1" applyAlignment="1" applyProtection="1">
      <alignment horizontal="left" vertical="center" wrapText="1"/>
      <protection hidden="1"/>
    </xf>
    <xf numFmtId="1" fontId="14" fillId="8" borderId="39" xfId="2" applyNumberFormat="1" applyFont="1" applyFill="1" applyBorder="1" applyAlignment="1" applyProtection="1">
      <alignment horizontal="left" vertical="center" wrapText="1"/>
      <protection hidden="1"/>
    </xf>
    <xf numFmtId="166" fontId="5" fillId="9" borderId="12" xfId="0" applyNumberFormat="1" applyFont="1" applyFill="1" applyBorder="1" applyAlignment="1" applyProtection="1">
      <alignment vertical="center" wrapText="1"/>
      <protection hidden="1"/>
    </xf>
    <xf numFmtId="166" fontId="5" fillId="8" borderId="12" xfId="0" applyNumberFormat="1" applyFont="1" applyFill="1" applyBorder="1" applyAlignment="1" applyProtection="1">
      <alignment vertical="center" wrapText="1"/>
      <protection hidden="1"/>
    </xf>
    <xf numFmtId="166" fontId="6" fillId="2" borderId="12" xfId="0" applyNumberFormat="1" applyFont="1" applyFill="1" applyBorder="1" applyAlignment="1" applyProtection="1">
      <alignment vertical="center" wrapText="1"/>
      <protection hidden="1"/>
    </xf>
    <xf numFmtId="166" fontId="13" fillId="8" borderId="12" xfId="0" applyNumberFormat="1" applyFont="1" applyFill="1" applyBorder="1" applyAlignment="1" applyProtection="1">
      <alignment vertical="center" wrapText="1"/>
      <protection hidden="1"/>
    </xf>
    <xf numFmtId="166" fontId="13" fillId="6" borderId="17" xfId="0" applyNumberFormat="1" applyFont="1" applyFill="1" applyBorder="1" applyAlignment="1" applyProtection="1">
      <alignment vertical="center" wrapText="1"/>
      <protection hidden="1"/>
    </xf>
    <xf numFmtId="166" fontId="6" fillId="9" borderId="12" xfId="0" applyNumberFormat="1" applyFont="1" applyFill="1" applyBorder="1" applyAlignment="1" applyProtection="1">
      <alignment vertical="center" wrapText="1"/>
      <protection hidden="1"/>
    </xf>
    <xf numFmtId="4" fontId="15" fillId="0" borderId="0" xfId="0" applyNumberFormat="1" applyFont="1" applyAlignment="1">
      <alignment vertical="center"/>
    </xf>
    <xf numFmtId="166" fontId="15" fillId="7" borderId="12" xfId="0" applyNumberFormat="1" applyFont="1" applyFill="1" applyBorder="1" applyAlignment="1" applyProtection="1">
      <alignment horizontal="center" vertical="center" wrapText="1"/>
      <protection locked="0" hidden="1"/>
    </xf>
    <xf numFmtId="4" fontId="15" fillId="2" borderId="0" xfId="0" applyNumberFormat="1" applyFont="1" applyFill="1" applyAlignment="1">
      <alignment vertical="center" wrapText="1"/>
    </xf>
    <xf numFmtId="1" fontId="15" fillId="2" borderId="0" xfId="0" applyNumberFormat="1" applyFont="1" applyFill="1" applyAlignment="1">
      <alignment vertical="center" wrapText="1"/>
    </xf>
    <xf numFmtId="4" fontId="16" fillId="2" borderId="0" xfId="0" applyNumberFormat="1" applyFont="1" applyFill="1" applyAlignment="1">
      <alignment vertical="center" wrapText="1"/>
    </xf>
    <xf numFmtId="4" fontId="5" fillId="2" borderId="10" xfId="0" applyNumberFormat="1" applyFont="1" applyFill="1" applyBorder="1" applyAlignment="1" applyProtection="1">
      <alignment horizontal="left" vertical="center" wrapText="1"/>
      <protection hidden="1"/>
    </xf>
    <xf numFmtId="0" fontId="5" fillId="2" borderId="10" xfId="0" applyFont="1" applyFill="1" applyBorder="1" applyAlignment="1" applyProtection="1">
      <alignment horizontal="left" vertical="top" wrapText="1"/>
      <protection hidden="1"/>
    </xf>
    <xf numFmtId="0" fontId="5" fillId="2" borderId="5" xfId="0" applyFont="1" applyFill="1" applyBorder="1" applyAlignment="1" applyProtection="1">
      <alignment horizontal="left" vertical="top" wrapText="1"/>
      <protection hidden="1"/>
    </xf>
    <xf numFmtId="4" fontId="38" fillId="0" borderId="10" xfId="0" applyNumberFormat="1" applyFont="1" applyBorder="1" applyAlignment="1" applyProtection="1">
      <alignment vertical="top" wrapText="1"/>
      <protection hidden="1"/>
    </xf>
    <xf numFmtId="4" fontId="38" fillId="2" borderId="10" xfId="0" applyNumberFormat="1" applyFont="1" applyFill="1" applyBorder="1" applyAlignment="1" applyProtection="1">
      <alignment horizontal="left" vertical="center" wrapText="1"/>
      <protection hidden="1"/>
    </xf>
    <xf numFmtId="4" fontId="38" fillId="4" borderId="10" xfId="0" applyNumberFormat="1" applyFont="1" applyFill="1" applyBorder="1"/>
    <xf numFmtId="4" fontId="38" fillId="0" borderId="5" xfId="0" applyNumberFormat="1" applyFont="1" applyBorder="1" applyAlignment="1" applyProtection="1">
      <alignment vertical="top" wrapText="1"/>
      <protection hidden="1"/>
    </xf>
    <xf numFmtId="4" fontId="38" fillId="2" borderId="5" xfId="0" applyNumberFormat="1" applyFont="1" applyFill="1" applyBorder="1" applyAlignment="1" applyProtection="1">
      <alignment horizontal="left" vertical="center" wrapText="1"/>
      <protection hidden="1"/>
    </xf>
    <xf numFmtId="4" fontId="38" fillId="4" borderId="5" xfId="0" applyNumberFormat="1" applyFont="1" applyFill="1" applyBorder="1"/>
    <xf numFmtId="165" fontId="5" fillId="2" borderId="10" xfId="0" applyNumberFormat="1" applyFont="1" applyFill="1" applyBorder="1" applyAlignment="1">
      <alignment horizontal="center"/>
    </xf>
    <xf numFmtId="165" fontId="5" fillId="2" borderId="5" xfId="0" applyNumberFormat="1" applyFont="1" applyFill="1" applyBorder="1" applyAlignment="1">
      <alignment horizontal="center"/>
    </xf>
    <xf numFmtId="164" fontId="5" fillId="2" borderId="2" xfId="1" applyFont="1" applyFill="1" applyBorder="1" applyAlignment="1">
      <alignment horizontal="center"/>
    </xf>
    <xf numFmtId="165" fontId="5" fillId="2" borderId="3" xfId="0" applyNumberFormat="1" applyFont="1" applyFill="1" applyBorder="1" applyAlignment="1">
      <alignment horizontal="center"/>
    </xf>
    <xf numFmtId="165" fontId="5" fillId="2" borderId="1" xfId="0" applyNumberFormat="1" applyFont="1" applyFill="1" applyBorder="1" applyAlignment="1">
      <alignment horizontal="center"/>
    </xf>
    <xf numFmtId="165" fontId="5" fillId="2" borderId="11" xfId="0" applyNumberFormat="1" applyFont="1" applyFill="1" applyBorder="1" applyAlignment="1">
      <alignment horizontal="center"/>
    </xf>
    <xf numFmtId="0" fontId="5" fillId="0" borderId="7" xfId="0" applyFont="1" applyBorder="1" applyAlignment="1" applyProtection="1">
      <alignment horizontal="left" vertical="top" wrapText="1"/>
      <protection hidden="1"/>
    </xf>
    <xf numFmtId="4" fontId="5" fillId="2" borderId="7" xfId="0" applyNumberFormat="1" applyFont="1" applyFill="1" applyBorder="1" applyAlignment="1" applyProtection="1">
      <alignment horizontal="left" vertical="top" wrapText="1"/>
      <protection hidden="1"/>
    </xf>
    <xf numFmtId="165" fontId="5" fillId="2" borderId="7" xfId="0" applyNumberFormat="1" applyFont="1" applyFill="1" applyBorder="1" applyAlignment="1">
      <alignment horizontal="center" vertical="top"/>
    </xf>
    <xf numFmtId="164" fontId="5" fillId="0" borderId="0" xfId="1" applyFont="1"/>
    <xf numFmtId="10" fontId="5" fillId="0" borderId="0" xfId="1" applyNumberFormat="1" applyFont="1"/>
    <xf numFmtId="0" fontId="40" fillId="0" borderId="0" xfId="3" applyFont="1" applyAlignment="1" applyProtection="1"/>
    <xf numFmtId="164" fontId="6" fillId="0" borderId="0" xfId="1" applyFont="1"/>
    <xf numFmtId="164" fontId="40" fillId="0" borderId="0" xfId="3" applyNumberFormat="1" applyFont="1" applyAlignment="1" applyProtection="1"/>
    <xf numFmtId="164" fontId="39" fillId="0" borderId="0" xfId="1" applyFont="1"/>
    <xf numFmtId="0" fontId="5" fillId="0" borderId="10" xfId="0" applyFont="1" applyBorder="1" applyAlignment="1" applyProtection="1">
      <alignment horizontal="left" vertical="center" wrapText="1"/>
      <protection hidden="1"/>
    </xf>
    <xf numFmtId="4" fontId="5" fillId="0" borderId="10" xfId="0" applyNumberFormat="1" applyFont="1" applyBorder="1" applyAlignment="1" applyProtection="1">
      <alignment horizontal="left" vertical="center" wrapText="1"/>
      <protection hidden="1"/>
    </xf>
    <xf numFmtId="0" fontId="5" fillId="0" borderId="5" xfId="0" applyFont="1" applyBorder="1" applyAlignment="1" applyProtection="1">
      <alignment horizontal="left" vertical="center" wrapText="1"/>
      <protection hidden="1"/>
    </xf>
    <xf numFmtId="4" fontId="5" fillId="0" borderId="5" xfId="0" applyNumberFormat="1" applyFont="1" applyBorder="1" applyAlignment="1" applyProtection="1">
      <alignment horizontal="left" vertical="center" wrapText="1"/>
      <protection hidden="1"/>
    </xf>
    <xf numFmtId="0" fontId="11" fillId="7" borderId="12" xfId="0" applyFont="1" applyFill="1" applyBorder="1" applyAlignment="1" applyProtection="1">
      <alignment vertical="center" wrapText="1"/>
      <protection locked="0"/>
    </xf>
    <xf numFmtId="4" fontId="5" fillId="2" borderId="0" xfId="0" applyNumberFormat="1" applyFont="1" applyFill="1" applyAlignment="1">
      <alignment vertical="center"/>
    </xf>
    <xf numFmtId="4" fontId="5" fillId="0" borderId="7" xfId="0" applyNumberFormat="1" applyFont="1" applyBorder="1" applyAlignment="1" applyProtection="1">
      <alignment horizontal="left" vertical="center" wrapText="1"/>
      <protection hidden="1"/>
    </xf>
    <xf numFmtId="4" fontId="5" fillId="0" borderId="4" xfId="0" applyNumberFormat="1" applyFont="1" applyBorder="1" applyAlignment="1" applyProtection="1">
      <alignment horizontal="left" vertical="center" wrapText="1"/>
      <protection hidden="1"/>
    </xf>
    <xf numFmtId="4" fontId="5" fillId="0" borderId="1" xfId="0" applyNumberFormat="1" applyFont="1" applyBorder="1" applyAlignment="1" applyProtection="1">
      <alignment horizontal="left" vertical="center" wrapText="1"/>
      <protection hidden="1"/>
    </xf>
    <xf numFmtId="4" fontId="5" fillId="0" borderId="9" xfId="0" applyNumberFormat="1" applyFont="1" applyBorder="1" applyAlignment="1" applyProtection="1">
      <alignment horizontal="left" vertical="center" wrapText="1"/>
      <protection hidden="1"/>
    </xf>
    <xf numFmtId="4" fontId="5" fillId="0" borderId="3" xfId="0" applyNumberFormat="1" applyFont="1" applyBorder="1" applyAlignment="1" applyProtection="1">
      <alignment horizontal="left" vertical="center" wrapText="1"/>
      <protection hidden="1"/>
    </xf>
    <xf numFmtId="164" fontId="39" fillId="0" borderId="0" xfId="1" applyFont="1" applyFill="1" applyAlignment="1">
      <alignment horizontal="left"/>
    </xf>
    <xf numFmtId="0" fontId="5" fillId="2" borderId="0" xfId="0" applyFont="1" applyFill="1" applyAlignment="1">
      <alignment horizontal="left" vertical="center" wrapText="1"/>
    </xf>
    <xf numFmtId="4" fontId="5" fillId="0" borderId="30" xfId="0" applyNumberFormat="1" applyFont="1" applyBorder="1" applyAlignment="1" applyProtection="1">
      <alignment horizontal="left" vertical="center" wrapText="1"/>
      <protection hidden="1"/>
    </xf>
    <xf numFmtId="4" fontId="5" fillId="0" borderId="26" xfId="0" applyNumberFormat="1" applyFont="1" applyBorder="1" applyAlignment="1" applyProtection="1">
      <alignment horizontal="left" vertical="center" wrapText="1"/>
      <protection hidden="1"/>
    </xf>
    <xf numFmtId="166" fontId="6" fillId="2" borderId="0" xfId="0" applyNumberFormat="1" applyFont="1" applyFill="1" applyAlignment="1">
      <alignment vertical="center" wrapText="1"/>
    </xf>
    <xf numFmtId="4" fontId="5" fillId="4" borderId="5" xfId="0" applyNumberFormat="1" applyFont="1" applyFill="1" applyBorder="1" applyAlignment="1">
      <alignment vertical="top"/>
    </xf>
    <xf numFmtId="4" fontId="5" fillId="0" borderId="10" xfId="0" applyNumberFormat="1" applyFont="1" applyBorder="1" applyAlignment="1" applyProtection="1">
      <alignment vertical="top" wrapText="1"/>
      <protection hidden="1"/>
    </xf>
    <xf numFmtId="4" fontId="5" fillId="0" borderId="7" xfId="0" applyNumberFormat="1" applyFont="1" applyBorder="1" applyAlignment="1" applyProtection="1">
      <alignment horizontal="left" vertical="top" wrapText="1"/>
      <protection hidden="1"/>
    </xf>
    <xf numFmtId="164" fontId="41" fillId="0" borderId="0" xfId="3" applyNumberFormat="1" applyFont="1" applyAlignment="1" applyProtection="1"/>
    <xf numFmtId="0" fontId="39" fillId="0" borderId="0" xfId="0" applyFont="1"/>
    <xf numFmtId="0" fontId="41" fillId="0" borderId="0" xfId="3" applyFont="1" applyAlignment="1" applyProtection="1"/>
    <xf numFmtId="4" fontId="5" fillId="7" borderId="18" xfId="0" applyNumberFormat="1" applyFont="1" applyFill="1" applyBorder="1" applyAlignment="1" applyProtection="1">
      <alignment vertical="center" wrapText="1"/>
      <protection locked="0" hidden="1"/>
    </xf>
    <xf numFmtId="4" fontId="5" fillId="7" borderId="19" xfId="0" applyNumberFormat="1" applyFont="1" applyFill="1" applyBorder="1" applyAlignment="1" applyProtection="1">
      <alignment vertical="center" wrapText="1"/>
      <protection locked="0" hidden="1"/>
    </xf>
    <xf numFmtId="4" fontId="5" fillId="7" borderId="20" xfId="0" applyNumberFormat="1" applyFont="1" applyFill="1" applyBorder="1" applyAlignment="1" applyProtection="1">
      <alignment vertical="center" wrapText="1"/>
      <protection locked="0" hidden="1"/>
    </xf>
    <xf numFmtId="171" fontId="5" fillId="2" borderId="7" xfId="0" applyNumberFormat="1" applyFont="1" applyFill="1" applyBorder="1" applyAlignment="1">
      <alignment horizontal="center" vertical="center"/>
    </xf>
    <xf numFmtId="0" fontId="13" fillId="6" borderId="12" xfId="0" applyFont="1" applyFill="1" applyBorder="1" applyAlignment="1" applyProtection="1">
      <alignment horizontal="center" vertical="center" wrapText="1"/>
      <protection hidden="1"/>
    </xf>
    <xf numFmtId="166" fontId="13" fillId="6" borderId="14" xfId="0" applyNumberFormat="1" applyFont="1" applyFill="1" applyBorder="1" applyAlignment="1" applyProtection="1">
      <alignment vertical="center" wrapText="1"/>
      <protection hidden="1"/>
    </xf>
    <xf numFmtId="166" fontId="13" fillId="6" borderId="15" xfId="0" applyNumberFormat="1" applyFont="1" applyFill="1" applyBorder="1" applyAlignment="1" applyProtection="1">
      <alignment vertical="center" wrapText="1"/>
      <protection hidden="1"/>
    </xf>
    <xf numFmtId="166" fontId="13" fillId="6" borderId="16" xfId="0" applyNumberFormat="1" applyFont="1" applyFill="1" applyBorder="1" applyAlignment="1" applyProtection="1">
      <alignment vertical="center" wrapText="1"/>
      <protection hidden="1"/>
    </xf>
    <xf numFmtId="166" fontId="13" fillId="6" borderId="12" xfId="0" applyNumberFormat="1" applyFont="1" applyFill="1" applyBorder="1" applyAlignment="1" applyProtection="1">
      <alignment vertical="center" wrapText="1"/>
      <protection hidden="1"/>
    </xf>
    <xf numFmtId="166" fontId="5" fillId="8" borderId="18" xfId="0" applyNumberFormat="1" applyFont="1" applyFill="1" applyBorder="1" applyAlignment="1" applyProtection="1">
      <alignment horizontal="right" vertical="center" wrapText="1"/>
      <protection hidden="1"/>
    </xf>
    <xf numFmtId="166" fontId="5" fillId="8" borderId="19" xfId="0" applyNumberFormat="1" applyFont="1" applyFill="1" applyBorder="1" applyAlignment="1" applyProtection="1">
      <alignment horizontal="right" vertical="center" wrapText="1"/>
      <protection hidden="1"/>
    </xf>
    <xf numFmtId="166" fontId="5" fillId="8" borderId="20" xfId="0" applyNumberFormat="1" applyFont="1" applyFill="1" applyBorder="1" applyAlignment="1" applyProtection="1">
      <alignment horizontal="right" vertical="center" wrapText="1"/>
      <protection hidden="1"/>
    </xf>
    <xf numFmtId="166" fontId="5" fillId="2" borderId="12" xfId="0" applyNumberFormat="1" applyFont="1" applyFill="1" applyBorder="1" applyAlignment="1" applyProtection="1">
      <alignment horizontal="right" vertical="center" wrapText="1"/>
      <protection hidden="1"/>
    </xf>
    <xf numFmtId="166" fontId="14" fillId="8" borderId="12" xfId="0" applyNumberFormat="1" applyFont="1" applyFill="1" applyBorder="1" applyAlignment="1" applyProtection="1">
      <alignment vertical="center" wrapText="1"/>
      <protection hidden="1"/>
    </xf>
    <xf numFmtId="4" fontId="5" fillId="7" borderId="12" xfId="0" applyNumberFormat="1" applyFont="1" applyFill="1" applyBorder="1" applyAlignment="1" applyProtection="1">
      <alignment horizontal="right" vertical="center" wrapText="1"/>
      <protection locked="0" hidden="1"/>
    </xf>
    <xf numFmtId="0" fontId="6" fillId="6" borderId="7"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8" xfId="0" applyFont="1" applyFill="1" applyBorder="1" applyAlignment="1">
      <alignment horizontal="center" vertical="center"/>
    </xf>
    <xf numFmtId="4" fontId="15" fillId="2" borderId="0" xfId="0" applyNumberFormat="1" applyFont="1" applyFill="1" applyAlignment="1">
      <alignment horizontal="left" vertical="center" wrapText="1"/>
    </xf>
    <xf numFmtId="0" fontId="13" fillId="6" borderId="33" xfId="0" applyFont="1" applyFill="1" applyBorder="1" applyAlignment="1" applyProtection="1">
      <alignment horizontal="center" vertical="center" wrapText="1"/>
      <protection hidden="1"/>
    </xf>
    <xf numFmtId="0" fontId="13" fillId="6" borderId="37" xfId="0" applyFont="1" applyFill="1" applyBorder="1" applyAlignment="1" applyProtection="1">
      <alignment horizontal="center" vertical="center" wrapText="1"/>
      <protection hidden="1"/>
    </xf>
    <xf numFmtId="0" fontId="13" fillId="6" borderId="34" xfId="0" applyFont="1" applyFill="1" applyBorder="1" applyAlignment="1" applyProtection="1">
      <alignment horizontal="center" vertical="center" wrapText="1"/>
      <protection hidden="1"/>
    </xf>
    <xf numFmtId="0" fontId="13" fillId="6" borderId="12" xfId="0" applyFont="1" applyFill="1" applyBorder="1" applyAlignment="1" applyProtection="1">
      <alignment horizontal="left" vertical="center" wrapText="1"/>
      <protection hidden="1"/>
    </xf>
    <xf numFmtId="0" fontId="13" fillId="6" borderId="29" xfId="0" applyFont="1" applyFill="1" applyBorder="1" applyAlignment="1" applyProtection="1">
      <alignment horizontal="center" vertical="center" wrapText="1"/>
      <protection hidden="1"/>
    </xf>
    <xf numFmtId="0" fontId="13" fillId="6" borderId="21" xfId="0" applyFont="1" applyFill="1" applyBorder="1" applyAlignment="1" applyProtection="1">
      <alignment horizontal="center" vertical="center" wrapText="1"/>
      <protection hidden="1"/>
    </xf>
    <xf numFmtId="0" fontId="11" fillId="7" borderId="18" xfId="0" applyFont="1" applyFill="1" applyBorder="1" applyAlignment="1" applyProtection="1">
      <alignment horizontal="left" vertical="center" wrapText="1"/>
      <protection locked="0"/>
    </xf>
    <xf numFmtId="0" fontId="11" fillId="7" borderId="19" xfId="0" applyFont="1" applyFill="1" applyBorder="1" applyAlignment="1" applyProtection="1">
      <alignment horizontal="left" vertical="center" wrapText="1"/>
      <protection locked="0"/>
    </xf>
    <xf numFmtId="0" fontId="11" fillId="7" borderId="20" xfId="0" applyFont="1" applyFill="1" applyBorder="1" applyAlignment="1" applyProtection="1">
      <alignment horizontal="left" vertical="center" wrapText="1"/>
      <protection locked="0"/>
    </xf>
    <xf numFmtId="4" fontId="13" fillId="6" borderId="18" xfId="0" applyNumberFormat="1" applyFont="1" applyFill="1" applyBorder="1" applyAlignment="1" applyProtection="1">
      <alignment horizontal="left" vertical="center"/>
      <protection hidden="1"/>
    </xf>
    <xf numFmtId="4" fontId="13" fillId="6" borderId="20" xfId="0" applyNumberFormat="1" applyFont="1" applyFill="1" applyBorder="1" applyAlignment="1" applyProtection="1">
      <alignment horizontal="left" vertical="center"/>
      <protection hidden="1"/>
    </xf>
    <xf numFmtId="166" fontId="5" fillId="7" borderId="18" xfId="0" applyNumberFormat="1" applyFont="1" applyFill="1" applyBorder="1" applyAlignment="1" applyProtection="1">
      <alignment vertical="center" wrapText="1"/>
      <protection locked="0" hidden="1"/>
    </xf>
    <xf numFmtId="166" fontId="5" fillId="7" borderId="19" xfId="0" applyNumberFormat="1" applyFont="1" applyFill="1" applyBorder="1" applyAlignment="1" applyProtection="1">
      <alignment vertical="center" wrapText="1"/>
      <protection locked="0" hidden="1"/>
    </xf>
    <xf numFmtId="166" fontId="5" fillId="7" borderId="20" xfId="0" applyNumberFormat="1" applyFont="1" applyFill="1" applyBorder="1" applyAlignment="1" applyProtection="1">
      <alignment vertical="center" wrapText="1"/>
      <protection locked="0" hidden="1"/>
    </xf>
    <xf numFmtId="4" fontId="5" fillId="2" borderId="18" xfId="0" applyNumberFormat="1" applyFont="1" applyFill="1" applyBorder="1" applyAlignment="1" applyProtection="1">
      <alignment horizontal="left" vertical="center" wrapText="1"/>
      <protection hidden="1"/>
    </xf>
    <xf numFmtId="4" fontId="5" fillId="2" borderId="20" xfId="0" applyNumberFormat="1" applyFont="1" applyFill="1" applyBorder="1" applyAlignment="1" applyProtection="1">
      <alignment horizontal="left" vertical="center" wrapText="1"/>
      <protection hidden="1"/>
    </xf>
    <xf numFmtId="166" fontId="5" fillId="2" borderId="18" xfId="0" applyNumberFormat="1" applyFont="1" applyFill="1" applyBorder="1" applyAlignment="1" applyProtection="1">
      <alignment vertical="center" wrapText="1"/>
      <protection hidden="1"/>
    </xf>
    <xf numFmtId="166" fontId="5" fillId="2" borderId="19" xfId="0" applyNumberFormat="1" applyFont="1" applyFill="1" applyBorder="1" applyAlignment="1" applyProtection="1">
      <alignment vertical="center" wrapText="1"/>
      <protection hidden="1"/>
    </xf>
    <xf numFmtId="166" fontId="5" fillId="2" borderId="20" xfId="0" applyNumberFormat="1" applyFont="1" applyFill="1" applyBorder="1" applyAlignment="1" applyProtection="1">
      <alignment vertical="center" wrapText="1"/>
      <protection hidden="1"/>
    </xf>
    <xf numFmtId="166" fontId="13" fillId="6" borderId="18" xfId="0" applyNumberFormat="1" applyFont="1" applyFill="1" applyBorder="1" applyAlignment="1" applyProtection="1">
      <alignment horizontal="right" vertical="center" wrapText="1"/>
      <protection hidden="1"/>
    </xf>
    <xf numFmtId="166" fontId="13" fillId="6" borderId="19" xfId="0" applyNumberFormat="1" applyFont="1" applyFill="1" applyBorder="1" applyAlignment="1" applyProtection="1">
      <alignment horizontal="right" vertical="center" wrapText="1"/>
      <protection hidden="1"/>
    </xf>
    <xf numFmtId="166" fontId="13" fillId="6" borderId="20" xfId="0" applyNumberFormat="1" applyFont="1" applyFill="1" applyBorder="1" applyAlignment="1" applyProtection="1">
      <alignment horizontal="right" vertical="center" wrapText="1"/>
      <protection hidden="1"/>
    </xf>
    <xf numFmtId="0" fontId="13" fillId="6" borderId="35" xfId="0" applyFont="1" applyFill="1" applyBorder="1" applyAlignment="1" applyProtection="1">
      <alignment horizontal="center" vertical="center" wrapText="1"/>
      <protection hidden="1"/>
    </xf>
    <xf numFmtId="0" fontId="13" fillId="6" borderId="36" xfId="0" applyFont="1" applyFill="1" applyBorder="1" applyAlignment="1" applyProtection="1">
      <alignment horizontal="center" vertical="center" wrapText="1"/>
      <protection hidden="1"/>
    </xf>
    <xf numFmtId="169" fontId="13" fillId="6" borderId="35" xfId="0" applyNumberFormat="1" applyFont="1" applyFill="1" applyBorder="1" applyAlignment="1" applyProtection="1">
      <alignment horizontal="center" vertical="center" wrapText="1"/>
      <protection hidden="1"/>
    </xf>
    <xf numFmtId="169" fontId="13" fillId="6" borderId="38" xfId="0" applyNumberFormat="1" applyFont="1" applyFill="1" applyBorder="1" applyAlignment="1" applyProtection="1">
      <alignment horizontal="center" vertical="center" wrapText="1"/>
      <protection hidden="1"/>
    </xf>
    <xf numFmtId="169" fontId="13" fillId="6" borderId="36" xfId="0" applyNumberFormat="1" applyFont="1" applyFill="1" applyBorder="1" applyAlignment="1" applyProtection="1">
      <alignment horizontal="center" vertical="center" wrapText="1"/>
      <protection hidden="1"/>
    </xf>
    <xf numFmtId="4" fontId="13" fillId="6" borderId="18" xfId="0" applyNumberFormat="1" applyFont="1" applyFill="1" applyBorder="1" applyAlignment="1" applyProtection="1">
      <alignment horizontal="left" vertical="center" wrapText="1"/>
      <protection hidden="1"/>
    </xf>
    <xf numFmtId="4" fontId="13" fillId="6" borderId="20" xfId="0" applyNumberFormat="1" applyFont="1" applyFill="1" applyBorder="1" applyAlignment="1" applyProtection="1">
      <alignment horizontal="left" vertical="center" wrapText="1"/>
      <protection hidden="1"/>
    </xf>
    <xf numFmtId="4" fontId="13" fillId="6" borderId="18" xfId="0" applyNumberFormat="1" applyFont="1" applyFill="1" applyBorder="1" applyAlignment="1" applyProtection="1">
      <alignment vertical="center" wrapText="1"/>
      <protection hidden="1"/>
    </xf>
    <xf numFmtId="4" fontId="13" fillId="6" borderId="20" xfId="0" applyNumberFormat="1" applyFont="1" applyFill="1" applyBorder="1" applyAlignment="1" applyProtection="1">
      <alignment vertical="center" wrapText="1"/>
      <protection hidden="1"/>
    </xf>
    <xf numFmtId="4" fontId="5" fillId="0" borderId="10" xfId="0" applyNumberFormat="1" applyFont="1" applyBorder="1" applyAlignment="1" applyProtection="1">
      <alignment horizontal="left" vertical="top" wrapText="1"/>
      <protection hidden="1"/>
    </xf>
    <xf numFmtId="4" fontId="5" fillId="0" borderId="5" xfId="0" applyNumberFormat="1" applyFont="1" applyBorder="1" applyAlignment="1" applyProtection="1">
      <alignment horizontal="left" vertical="top" wrapText="1"/>
      <protection hidden="1"/>
    </xf>
    <xf numFmtId="4" fontId="5" fillId="2" borderId="24" xfId="0" applyNumberFormat="1" applyFont="1" applyFill="1" applyBorder="1" applyAlignment="1">
      <alignment horizontal="left" wrapText="1"/>
    </xf>
    <xf numFmtId="4" fontId="5" fillId="2" borderId="23" xfId="0" applyNumberFormat="1" applyFont="1" applyFill="1" applyBorder="1" applyAlignment="1">
      <alignment horizontal="left" wrapText="1"/>
    </xf>
    <xf numFmtId="4" fontId="5" fillId="2" borderId="25" xfId="0" applyNumberFormat="1" applyFont="1" applyFill="1" applyBorder="1" applyAlignment="1">
      <alignment horizontal="left" wrapText="1"/>
    </xf>
    <xf numFmtId="4" fontId="5" fillId="2" borderId="26" xfId="0" applyNumberFormat="1" applyFont="1" applyFill="1" applyBorder="1" applyAlignment="1">
      <alignment horizontal="left" wrapText="1"/>
    </xf>
    <xf numFmtId="4" fontId="5" fillId="2" borderId="27" xfId="0" applyNumberFormat="1" applyFont="1" applyFill="1" applyBorder="1" applyAlignment="1">
      <alignment horizontal="left" wrapText="1"/>
    </xf>
    <xf numFmtId="4" fontId="5" fillId="2" borderId="28" xfId="0" applyNumberFormat="1" applyFont="1" applyFill="1" applyBorder="1" applyAlignment="1">
      <alignment horizontal="left" wrapText="1"/>
    </xf>
    <xf numFmtId="4" fontId="5" fillId="0" borderId="11" xfId="0" applyNumberFormat="1" applyFont="1" applyBorder="1" applyAlignment="1" applyProtection="1">
      <alignment horizontal="left" vertical="center" wrapText="1"/>
      <protection hidden="1"/>
    </xf>
    <xf numFmtId="4" fontId="5" fillId="0" borderId="10" xfId="0" applyNumberFormat="1" applyFont="1" applyBorder="1" applyAlignment="1" applyProtection="1">
      <alignment horizontal="left" vertical="center" wrapText="1"/>
      <protection hidden="1"/>
    </xf>
    <xf numFmtId="4" fontId="5" fillId="0" borderId="5" xfId="0" applyNumberFormat="1" applyFont="1" applyBorder="1" applyAlignment="1" applyProtection="1">
      <alignment horizontal="left" vertical="center" wrapText="1"/>
      <protection hidden="1"/>
    </xf>
    <xf numFmtId="4" fontId="5" fillId="2" borderId="6" xfId="0" applyNumberFormat="1" applyFont="1" applyFill="1" applyBorder="1"/>
    <xf numFmtId="4" fontId="5" fillId="2" borderId="22" xfId="0" applyNumberFormat="1" applyFont="1" applyFill="1" applyBorder="1"/>
    <xf numFmtId="4" fontId="5" fillId="2" borderId="8" xfId="0" applyNumberFormat="1" applyFont="1" applyFill="1" applyBorder="1"/>
    <xf numFmtId="4" fontId="5" fillId="2" borderId="7" xfId="0" applyNumberFormat="1" applyFont="1" applyFill="1" applyBorder="1" applyAlignment="1">
      <alignment horizontal="left" vertical="top" wrapText="1"/>
    </xf>
    <xf numFmtId="4" fontId="5" fillId="2" borderId="4" xfId="0" applyNumberFormat="1" applyFont="1" applyFill="1" applyBorder="1" applyAlignment="1" applyProtection="1">
      <alignment horizontal="left" vertical="top" wrapText="1"/>
      <protection hidden="1"/>
    </xf>
    <xf numFmtId="4" fontId="5" fillId="2" borderId="10" xfId="0" applyNumberFormat="1" applyFont="1" applyFill="1" applyBorder="1" applyAlignment="1" applyProtection="1">
      <alignment horizontal="left" vertical="top" wrapText="1"/>
      <protection hidden="1"/>
    </xf>
    <xf numFmtId="4" fontId="5" fillId="2" borderId="5" xfId="0" applyNumberFormat="1" applyFont="1" applyFill="1" applyBorder="1" applyAlignment="1" applyProtection="1">
      <alignment horizontal="left" vertical="top" wrapText="1"/>
      <protection hidden="1"/>
    </xf>
    <xf numFmtId="4" fontId="5" fillId="0" borderId="4" xfId="0" applyNumberFormat="1" applyFont="1" applyBorder="1" applyAlignment="1" applyProtection="1">
      <alignment horizontal="left" vertical="top" wrapText="1"/>
      <protection hidden="1"/>
    </xf>
    <xf numFmtId="4" fontId="5" fillId="0" borderId="2" xfId="0" applyNumberFormat="1" applyFont="1" applyBorder="1" applyAlignment="1" applyProtection="1">
      <alignment horizontal="left" vertical="top" wrapText="1"/>
      <protection hidden="1"/>
    </xf>
    <xf numFmtId="4" fontId="6" fillId="5" borderId="6" xfId="0" applyNumberFormat="1" applyFont="1" applyFill="1" applyBorder="1"/>
    <xf numFmtId="4" fontId="6" fillId="5" borderId="22" xfId="0" applyNumberFormat="1" applyFont="1" applyFill="1" applyBorder="1"/>
    <xf numFmtId="4" fontId="6" fillId="5" borderId="8" xfId="0" applyNumberFormat="1" applyFont="1" applyFill="1" applyBorder="1"/>
  </cellXfs>
  <cellStyles count="90">
    <cellStyle name="Accent1 - 20%" xfId="7" xr:uid="{00000000-0005-0000-0000-000000000000}"/>
    <cellStyle name="Accent1 - 40%" xfId="8" xr:uid="{00000000-0005-0000-0000-000001000000}"/>
    <cellStyle name="Accent1 - 60%" xfId="9" xr:uid="{00000000-0005-0000-0000-000002000000}"/>
    <cellStyle name="Accent2 - 20%" xfId="11" xr:uid="{00000000-0005-0000-0000-000003000000}"/>
    <cellStyle name="Accent2 - 40%" xfId="12" xr:uid="{00000000-0005-0000-0000-000004000000}"/>
    <cellStyle name="Accent2 - 60%" xfId="13" xr:uid="{00000000-0005-0000-0000-000005000000}"/>
    <cellStyle name="Accent3 - 20%" xfId="15" xr:uid="{00000000-0005-0000-0000-000006000000}"/>
    <cellStyle name="Accent3 - 40%" xfId="16" xr:uid="{00000000-0005-0000-0000-000007000000}"/>
    <cellStyle name="Accent3 - 60%" xfId="17" xr:uid="{00000000-0005-0000-0000-000008000000}"/>
    <cellStyle name="Accent4 - 20%" xfId="19" xr:uid="{00000000-0005-0000-0000-000009000000}"/>
    <cellStyle name="Accent4 - 40%" xfId="20" xr:uid="{00000000-0005-0000-0000-00000A000000}"/>
    <cellStyle name="Accent4 - 60%" xfId="21" xr:uid="{00000000-0005-0000-0000-00000B000000}"/>
    <cellStyle name="Accent5 - 20%" xfId="23" xr:uid="{00000000-0005-0000-0000-00000C000000}"/>
    <cellStyle name="Accent5 - 40%" xfId="24" xr:uid="{00000000-0005-0000-0000-00000D000000}"/>
    <cellStyle name="Accent5 - 60%" xfId="25" xr:uid="{00000000-0005-0000-0000-00000E000000}"/>
    <cellStyle name="Accent6 - 20%" xfId="27" xr:uid="{00000000-0005-0000-0000-00000F000000}"/>
    <cellStyle name="Accent6 - 40%" xfId="28" xr:uid="{00000000-0005-0000-0000-000010000000}"/>
    <cellStyle name="Accent6 - 60%" xfId="29" xr:uid="{00000000-0005-0000-0000-000011000000}"/>
    <cellStyle name="Akzent1 2" xfId="6" xr:uid="{00000000-0005-0000-0000-000012000000}"/>
    <cellStyle name="Akzent2 2" xfId="10" xr:uid="{00000000-0005-0000-0000-000013000000}"/>
    <cellStyle name="Akzent3 2" xfId="14" xr:uid="{00000000-0005-0000-0000-000014000000}"/>
    <cellStyle name="Akzent4 2" xfId="18" xr:uid="{00000000-0005-0000-0000-000015000000}"/>
    <cellStyle name="Akzent5 2" xfId="22" xr:uid="{00000000-0005-0000-0000-000016000000}"/>
    <cellStyle name="Akzent6 2" xfId="26" xr:uid="{00000000-0005-0000-0000-000017000000}"/>
    <cellStyle name="Ausgabe 2" xfId="45" xr:uid="{00000000-0005-0000-0000-000018000000}"/>
    <cellStyle name="Berechnung 2" xfId="31" xr:uid="{00000000-0005-0000-0000-000019000000}"/>
    <cellStyle name="Eingabe 2" xfId="41" xr:uid="{00000000-0005-0000-0000-00001A000000}"/>
    <cellStyle name="Emphasis 1" xfId="33" xr:uid="{00000000-0005-0000-0000-00001B000000}"/>
    <cellStyle name="Emphasis 2" xfId="34" xr:uid="{00000000-0005-0000-0000-00001C000000}"/>
    <cellStyle name="Emphasis 3" xfId="35" xr:uid="{00000000-0005-0000-0000-00001D000000}"/>
    <cellStyle name="Ergebnis 2" xfId="88" xr:uid="{00000000-0005-0000-0000-00001E000000}"/>
    <cellStyle name="Gut 2" xfId="36" xr:uid="{00000000-0005-0000-0000-00001F000000}"/>
    <cellStyle name="Komma" xfId="1" builtinId="3"/>
    <cellStyle name="Link" xfId="3" builtinId="8"/>
    <cellStyle name="Neutral 2" xfId="43" xr:uid="{00000000-0005-0000-0000-000022000000}"/>
    <cellStyle name="Notiz 2" xfId="44" xr:uid="{00000000-0005-0000-0000-000023000000}"/>
    <cellStyle name="Prozent" xfId="2" builtinId="5"/>
    <cellStyle name="SAPBEXaggData" xfId="46" xr:uid="{00000000-0005-0000-0000-000025000000}"/>
    <cellStyle name="SAPBEXaggDataEmph" xfId="47" xr:uid="{00000000-0005-0000-0000-000026000000}"/>
    <cellStyle name="SAPBEXaggItem" xfId="48" xr:uid="{00000000-0005-0000-0000-000027000000}"/>
    <cellStyle name="SAPBEXaggItemX" xfId="49" xr:uid="{00000000-0005-0000-0000-000028000000}"/>
    <cellStyle name="SAPBEXchaText" xfId="50" xr:uid="{00000000-0005-0000-0000-000029000000}"/>
    <cellStyle name="SAPBEXexcBad7" xfId="51" xr:uid="{00000000-0005-0000-0000-00002A000000}"/>
    <cellStyle name="SAPBEXexcBad8" xfId="52" xr:uid="{00000000-0005-0000-0000-00002B000000}"/>
    <cellStyle name="SAPBEXexcBad9" xfId="53" xr:uid="{00000000-0005-0000-0000-00002C000000}"/>
    <cellStyle name="SAPBEXexcCritical4" xfId="54" xr:uid="{00000000-0005-0000-0000-00002D000000}"/>
    <cellStyle name="SAPBEXexcCritical5" xfId="55" xr:uid="{00000000-0005-0000-0000-00002E000000}"/>
    <cellStyle name="SAPBEXexcCritical6" xfId="56" xr:uid="{00000000-0005-0000-0000-00002F000000}"/>
    <cellStyle name="SAPBEXexcGood1" xfId="57" xr:uid="{00000000-0005-0000-0000-000030000000}"/>
    <cellStyle name="SAPBEXexcGood2" xfId="58" xr:uid="{00000000-0005-0000-0000-000031000000}"/>
    <cellStyle name="SAPBEXexcGood3" xfId="59" xr:uid="{00000000-0005-0000-0000-000032000000}"/>
    <cellStyle name="SAPBEXfilterDrill" xfId="60" xr:uid="{00000000-0005-0000-0000-000033000000}"/>
    <cellStyle name="SAPBEXfilterItem" xfId="61" xr:uid="{00000000-0005-0000-0000-000034000000}"/>
    <cellStyle name="SAPBEXfilterText" xfId="62" xr:uid="{00000000-0005-0000-0000-000035000000}"/>
    <cellStyle name="SAPBEXformats" xfId="63" xr:uid="{00000000-0005-0000-0000-000036000000}"/>
    <cellStyle name="SAPBEXheaderItem" xfId="64" xr:uid="{00000000-0005-0000-0000-000037000000}"/>
    <cellStyle name="SAPBEXheaderText" xfId="65" xr:uid="{00000000-0005-0000-0000-000038000000}"/>
    <cellStyle name="SAPBEXHLevel0" xfId="66" xr:uid="{00000000-0005-0000-0000-000039000000}"/>
    <cellStyle name="SAPBEXHLevel0X" xfId="67" xr:uid="{00000000-0005-0000-0000-00003A000000}"/>
    <cellStyle name="SAPBEXHLevel1" xfId="68" xr:uid="{00000000-0005-0000-0000-00003B000000}"/>
    <cellStyle name="SAPBEXHLevel1X" xfId="69" xr:uid="{00000000-0005-0000-0000-00003C000000}"/>
    <cellStyle name="SAPBEXHLevel2" xfId="70" xr:uid="{00000000-0005-0000-0000-00003D000000}"/>
    <cellStyle name="SAPBEXHLevel2X" xfId="71" xr:uid="{00000000-0005-0000-0000-00003E000000}"/>
    <cellStyle name="SAPBEXHLevel3" xfId="72" xr:uid="{00000000-0005-0000-0000-00003F000000}"/>
    <cellStyle name="SAPBEXHLevel3X" xfId="73" xr:uid="{00000000-0005-0000-0000-000040000000}"/>
    <cellStyle name="SAPBEXinputData" xfId="74" xr:uid="{00000000-0005-0000-0000-000041000000}"/>
    <cellStyle name="SAPBEXItemHeader" xfId="75" xr:uid="{00000000-0005-0000-0000-000042000000}"/>
    <cellStyle name="SAPBEXresData" xfId="76" xr:uid="{00000000-0005-0000-0000-000043000000}"/>
    <cellStyle name="SAPBEXresDataEmph" xfId="77" xr:uid="{00000000-0005-0000-0000-000044000000}"/>
    <cellStyle name="SAPBEXresItem" xfId="78" xr:uid="{00000000-0005-0000-0000-000045000000}"/>
    <cellStyle name="SAPBEXresItemX" xfId="79" xr:uid="{00000000-0005-0000-0000-000046000000}"/>
    <cellStyle name="SAPBEXstdData" xfId="80" xr:uid="{00000000-0005-0000-0000-000047000000}"/>
    <cellStyle name="SAPBEXstdDataEmph" xfId="81" xr:uid="{00000000-0005-0000-0000-000048000000}"/>
    <cellStyle name="SAPBEXstdItem" xfId="82" xr:uid="{00000000-0005-0000-0000-000049000000}"/>
    <cellStyle name="SAPBEXstdItemX" xfId="83" xr:uid="{00000000-0005-0000-0000-00004A000000}"/>
    <cellStyle name="SAPBEXtitle" xfId="84" xr:uid="{00000000-0005-0000-0000-00004B000000}"/>
    <cellStyle name="SAPBEXunassignedItem" xfId="85" xr:uid="{00000000-0005-0000-0000-00004C000000}"/>
    <cellStyle name="SAPBEXundefined" xfId="86" xr:uid="{00000000-0005-0000-0000-00004D000000}"/>
    <cellStyle name="Schlecht 2" xfId="30" xr:uid="{00000000-0005-0000-0000-00004E000000}"/>
    <cellStyle name="Sheet Title" xfId="87" xr:uid="{00000000-0005-0000-0000-00004F000000}"/>
    <cellStyle name="Standard" xfId="0" builtinId="0"/>
    <cellStyle name="Standard 2" xfId="5" xr:uid="{00000000-0005-0000-0000-000051000000}"/>
    <cellStyle name="Standard 3" xfId="4" xr:uid="{00000000-0005-0000-0000-000052000000}"/>
    <cellStyle name="Überschrift 1 2" xfId="37" xr:uid="{00000000-0005-0000-0000-000053000000}"/>
    <cellStyle name="Überschrift 2 2" xfId="38" xr:uid="{00000000-0005-0000-0000-000054000000}"/>
    <cellStyle name="Überschrift 3 2" xfId="39" xr:uid="{00000000-0005-0000-0000-000055000000}"/>
    <cellStyle name="Überschrift 4 2" xfId="40" xr:uid="{00000000-0005-0000-0000-000056000000}"/>
    <cellStyle name="Verknüpfte Zelle 2" xfId="42" xr:uid="{00000000-0005-0000-0000-000057000000}"/>
    <cellStyle name="Warnender Text 2" xfId="89" xr:uid="{00000000-0005-0000-0000-000058000000}"/>
    <cellStyle name="Zelle überprüfen 2" xfId="32" xr:uid="{00000000-0005-0000-0000-000059000000}"/>
  </cellStyles>
  <dxfs count="0"/>
  <tableStyles count="0" defaultTableStyle="TableStyleMedium9" defaultPivotStyle="PivotStyleLight16"/>
  <colors>
    <mruColors>
      <color rgb="FFFFFFCC"/>
      <color rgb="FFFFFF99"/>
      <color rgb="FF666666"/>
      <color rgb="FF15B1FF"/>
      <color rgb="FFADADAD"/>
      <color rgb="FF006699"/>
      <color rgb="FF5DC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ntra.univie.ac.at/fileadmin/upload/personalwesen/Themen_A-Z/Handbuch_Verguetungscodes.pdf" TargetMode="External"/><Relationship Id="rId1" Type="http://schemas.openxmlformats.org/officeDocument/2006/relationships/hyperlink" Target="https://intra.univie.ac.at/fileadmin/upload/personalwesen/Themen_A-Z/Handbuch_Verguetungscodes.pdf" TargetMode="External"/><Relationship Id="rId4"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39"/>
  <sheetViews>
    <sheetView tabSelected="1" topLeftCell="B33" zoomScale="89" zoomScaleNormal="89" zoomScaleSheetLayoutView="80" zoomScalePageLayoutView="40" workbookViewId="0">
      <selection activeCell="E46" sqref="E46"/>
    </sheetView>
  </sheetViews>
  <sheetFormatPr baseColWidth="10" defaultColWidth="11.23046875" defaultRowHeight="12.9" outlineLevelRow="2" outlineLevelCol="1" x14ac:dyDescent="0.3"/>
  <cols>
    <col min="1" max="1" width="10.69140625" style="2" hidden="1" customWidth="1" outlineLevel="1"/>
    <col min="2" max="2" width="41" style="2" customWidth="1" collapsed="1"/>
    <col min="3" max="3" width="13" style="2" bestFit="1" customWidth="1"/>
    <col min="4" max="4" width="7" style="2" customWidth="1"/>
    <col min="5" max="5" width="5.69140625" style="3" customWidth="1"/>
    <col min="6" max="6" width="13.84375" style="2" customWidth="1"/>
    <col min="7" max="7" width="6.23046875" style="2" bestFit="1" customWidth="1"/>
    <col min="8" max="8" width="6.23046875" style="3" bestFit="1" customWidth="1"/>
    <col min="9" max="9" width="13.84375" style="2" customWidth="1"/>
    <col min="10" max="10" width="6.23046875" style="2" bestFit="1" customWidth="1"/>
    <col min="11" max="11" width="5.69140625" style="3" customWidth="1"/>
    <col min="12" max="12" width="13.84375" style="2" customWidth="1"/>
    <col min="13" max="13" width="5.69140625" style="2" customWidth="1"/>
    <col min="14" max="14" width="5.69140625" style="3" customWidth="1"/>
    <col min="15" max="15" width="13.84375" style="2" customWidth="1"/>
    <col min="16" max="16" width="5.69140625" style="2" customWidth="1"/>
    <col min="17" max="17" width="5.69140625" style="3" customWidth="1"/>
    <col min="18" max="18" width="13.84375" style="2" customWidth="1"/>
    <col min="19" max="19" width="23.69140625" style="8" customWidth="1"/>
    <col min="20" max="20" width="13.84375" style="2" bestFit="1" customWidth="1"/>
    <col min="21" max="21" width="13.69140625" style="2" bestFit="1" customWidth="1"/>
    <col min="22" max="22" width="4.23046875" style="2" bestFit="1" customWidth="1"/>
    <col min="23" max="23" width="8.69140625" style="2" bestFit="1" customWidth="1"/>
    <col min="24" max="25" width="9.84375" style="2" bestFit="1" customWidth="1"/>
    <col min="26" max="16384" width="11.23046875" style="2"/>
  </cols>
  <sheetData>
    <row r="1" spans="1:25" x14ac:dyDescent="0.3">
      <c r="Q1" s="2"/>
      <c r="S1" s="2"/>
    </row>
    <row r="2" spans="1:25" s="58" customFormat="1" ht="24" customHeight="1" x14ac:dyDescent="0.3">
      <c r="A2" s="56"/>
      <c r="B2" s="56" t="s">
        <v>72</v>
      </c>
      <c r="E2" s="59"/>
      <c r="F2" s="165"/>
      <c r="Q2" s="2"/>
      <c r="R2" s="2"/>
      <c r="S2" s="2"/>
      <c r="T2" s="2"/>
      <c r="U2" s="2"/>
    </row>
    <row r="3" spans="1:25" s="58" customFormat="1" ht="5.25" customHeight="1" x14ac:dyDescent="0.3">
      <c r="A3" s="62"/>
      <c r="B3" s="62"/>
      <c r="C3" s="63"/>
      <c r="D3" s="63"/>
      <c r="E3" s="64"/>
      <c r="F3" s="65"/>
      <c r="G3" s="65"/>
      <c r="H3" s="66"/>
      <c r="I3" s="65"/>
      <c r="J3" s="65"/>
      <c r="K3" s="66"/>
      <c r="L3" s="65"/>
      <c r="M3" s="65"/>
      <c r="N3" s="66"/>
      <c r="O3" s="65"/>
      <c r="P3" s="67"/>
      <c r="Q3" s="59"/>
      <c r="S3" s="60"/>
    </row>
    <row r="4" spans="1:25" s="58" customFormat="1" ht="24" customHeight="1" x14ac:dyDescent="0.3">
      <c r="A4" s="56"/>
      <c r="B4" s="56" t="s">
        <v>19</v>
      </c>
      <c r="E4" s="59"/>
      <c r="F4" s="208"/>
      <c r="G4" s="209"/>
      <c r="H4" s="209"/>
      <c r="I4" s="209"/>
      <c r="J4" s="209"/>
      <c r="K4" s="209"/>
      <c r="L4" s="209"/>
      <c r="M4" s="209"/>
      <c r="N4" s="210"/>
      <c r="Q4" s="59"/>
      <c r="S4" s="60"/>
    </row>
    <row r="5" spans="1:25" s="58" customFormat="1" ht="5.25" customHeight="1" x14ac:dyDescent="0.3">
      <c r="C5" s="1"/>
      <c r="D5" s="1"/>
      <c r="E5" s="1"/>
      <c r="G5" s="61"/>
      <c r="Q5" s="59"/>
      <c r="S5" s="60"/>
    </row>
    <row r="6" spans="1:25" s="58" customFormat="1" ht="24" customHeight="1" x14ac:dyDescent="0.3">
      <c r="A6" s="56"/>
      <c r="B6" s="56" t="s">
        <v>183</v>
      </c>
      <c r="C6" s="1"/>
      <c r="D6" s="1"/>
      <c r="E6" s="1"/>
      <c r="F6" s="208"/>
      <c r="G6" s="209"/>
      <c r="H6" s="209"/>
      <c r="I6" s="209"/>
      <c r="J6" s="209"/>
      <c r="K6" s="209"/>
      <c r="L6" s="209"/>
      <c r="M6" s="209"/>
      <c r="N6" s="210"/>
      <c r="S6" s="60"/>
      <c r="T6" s="115"/>
    </row>
    <row r="7" spans="1:25" s="58" customFormat="1" ht="5.25" customHeight="1" x14ac:dyDescent="0.3">
      <c r="A7" s="62"/>
      <c r="B7" s="62"/>
      <c r="C7" s="63"/>
      <c r="D7" s="63"/>
      <c r="E7" s="64"/>
      <c r="F7" s="65"/>
      <c r="G7" s="65"/>
      <c r="H7" s="66"/>
      <c r="I7" s="65"/>
      <c r="J7" s="65"/>
      <c r="K7" s="66"/>
      <c r="L7" s="65"/>
      <c r="M7" s="65"/>
      <c r="N7" s="66"/>
      <c r="O7" s="65"/>
      <c r="P7" s="67"/>
      <c r="Q7" s="59"/>
      <c r="S7" s="60"/>
      <c r="T7" s="115"/>
    </row>
    <row r="8" spans="1:25" s="58" customFormat="1" ht="24" customHeight="1" x14ac:dyDescent="0.3">
      <c r="A8" s="56"/>
      <c r="B8" s="56" t="s">
        <v>159</v>
      </c>
      <c r="C8" s="52"/>
      <c r="D8" s="57" t="s">
        <v>73</v>
      </c>
      <c r="E8" s="52"/>
      <c r="F8" s="80"/>
      <c r="J8" s="68" t="s">
        <v>74</v>
      </c>
      <c r="K8" s="52"/>
      <c r="L8" s="80"/>
      <c r="S8" s="60"/>
    </row>
    <row r="10" spans="1:25" s="4" customFormat="1" ht="12.75" customHeight="1" x14ac:dyDescent="0.3">
      <c r="A10" s="205"/>
      <c r="B10" s="205" t="s">
        <v>76</v>
      </c>
      <c r="C10" s="187" t="s">
        <v>121</v>
      </c>
      <c r="D10" s="202">
        <v>2025</v>
      </c>
      <c r="E10" s="203"/>
      <c r="F10" s="204"/>
      <c r="G10" s="202">
        <f>D10+1</f>
        <v>2026</v>
      </c>
      <c r="H10" s="203"/>
      <c r="I10" s="204"/>
      <c r="J10" s="202">
        <f>G10+1</f>
        <v>2027</v>
      </c>
      <c r="K10" s="203"/>
      <c r="L10" s="204"/>
      <c r="M10" s="202">
        <f>J10+1</f>
        <v>2028</v>
      </c>
      <c r="N10" s="203"/>
      <c r="O10" s="204"/>
      <c r="P10" s="202">
        <f>M10+1</f>
        <v>2029</v>
      </c>
      <c r="Q10" s="203"/>
      <c r="R10" s="204"/>
      <c r="S10" s="187" t="s">
        <v>123</v>
      </c>
      <c r="T10" s="8"/>
      <c r="U10" s="2"/>
      <c r="V10" s="8"/>
      <c r="W10" s="8"/>
      <c r="X10" s="8"/>
      <c r="Y10" s="8"/>
    </row>
    <row r="11" spans="1:25" s="4" customFormat="1" x14ac:dyDescent="0.3">
      <c r="A11" s="205"/>
      <c r="B11" s="205"/>
      <c r="C11" s="187"/>
      <c r="D11" s="90" t="s">
        <v>6</v>
      </c>
      <c r="E11" s="90" t="s">
        <v>5</v>
      </c>
      <c r="F11" s="91" t="s">
        <v>122</v>
      </c>
      <c r="G11" s="90" t="s">
        <v>6</v>
      </c>
      <c r="H11" s="90" t="s">
        <v>5</v>
      </c>
      <c r="I11" s="91" t="s">
        <v>122</v>
      </c>
      <c r="J11" s="90" t="s">
        <v>6</v>
      </c>
      <c r="K11" s="90" t="s">
        <v>5</v>
      </c>
      <c r="L11" s="91" t="s">
        <v>122</v>
      </c>
      <c r="M11" s="90" t="s">
        <v>6</v>
      </c>
      <c r="N11" s="90" t="s">
        <v>5</v>
      </c>
      <c r="O11" s="91" t="s">
        <v>122</v>
      </c>
      <c r="P11" s="90" t="s">
        <v>6</v>
      </c>
      <c r="Q11" s="90" t="s">
        <v>5</v>
      </c>
      <c r="R11" s="91" t="s">
        <v>122</v>
      </c>
      <c r="S11" s="187"/>
      <c r="T11" s="8"/>
      <c r="U11" s="2"/>
      <c r="V11" s="8"/>
      <c r="W11" s="8"/>
      <c r="X11" s="8"/>
      <c r="Y11" s="8"/>
    </row>
    <row r="12" spans="1:25" ht="13.95" customHeight="1" outlineLevel="1" x14ac:dyDescent="0.3">
      <c r="A12" s="99">
        <v>660010</v>
      </c>
      <c r="B12" s="121" t="s">
        <v>20</v>
      </c>
      <c r="C12" s="92">
        <f>+'KV-Gehälter pro PersGrp'!D2</f>
        <v>6604.3</v>
      </c>
      <c r="D12" s="81"/>
      <c r="E12" s="82"/>
      <c r="F12" s="119">
        <f>ROUND((C12*D12*E12/12*14),2)</f>
        <v>0</v>
      </c>
      <c r="G12" s="81"/>
      <c r="H12" s="82"/>
      <c r="I12" s="119">
        <f t="shared" ref="I12:I24" si="0">ROUND((C12*G12*H12/12*14)*$G$132,2)</f>
        <v>0</v>
      </c>
      <c r="J12" s="81"/>
      <c r="K12" s="82"/>
      <c r="L12" s="119">
        <f t="shared" ref="L12:L24" si="1">ROUND((C12*J12*K12/12*14)*$G$132*$G$133,2)</f>
        <v>0</v>
      </c>
      <c r="M12" s="81"/>
      <c r="N12" s="82"/>
      <c r="O12" s="119">
        <f t="shared" ref="O12:O24" si="2">ROUND((C12*M12*N12/12*14)*$G$132*$G$133*$G$134,2)</f>
        <v>0</v>
      </c>
      <c r="P12" s="81"/>
      <c r="Q12" s="82"/>
      <c r="R12" s="119">
        <f t="shared" ref="R12:R24" si="3">ROUND((C12*P12*Q12/12*14)*$G$132*$G$133*$G$134*$G$135,2)</f>
        <v>0</v>
      </c>
      <c r="S12" s="128">
        <f t="shared" ref="S12:S24" si="4">F12+I12+L12+O12+R12</f>
        <v>0</v>
      </c>
    </row>
    <row r="13" spans="1:25" ht="13.95" customHeight="1" outlineLevel="1" x14ac:dyDescent="0.3">
      <c r="A13" s="99">
        <v>660310</v>
      </c>
      <c r="B13" s="121" t="s">
        <v>128</v>
      </c>
      <c r="C13" s="92">
        <f>'KV-Gehälter pro PersGrp'!D3</f>
        <v>6604.3</v>
      </c>
      <c r="D13" s="81"/>
      <c r="E13" s="82"/>
      <c r="F13" s="119">
        <f t="shared" ref="F13:F24" si="5">ROUND((C13*D13*E13/12*14),2)</f>
        <v>0</v>
      </c>
      <c r="G13" s="81"/>
      <c r="H13" s="82"/>
      <c r="I13" s="119">
        <f t="shared" si="0"/>
        <v>0</v>
      </c>
      <c r="J13" s="81"/>
      <c r="K13" s="82"/>
      <c r="L13" s="119">
        <f t="shared" si="1"/>
        <v>0</v>
      </c>
      <c r="M13" s="81"/>
      <c r="N13" s="82"/>
      <c r="O13" s="119">
        <f t="shared" si="2"/>
        <v>0</v>
      </c>
      <c r="P13" s="81"/>
      <c r="Q13" s="82"/>
      <c r="R13" s="119">
        <f t="shared" si="3"/>
        <v>0</v>
      </c>
      <c r="S13" s="128">
        <f t="shared" si="4"/>
        <v>0</v>
      </c>
    </row>
    <row r="14" spans="1:25" ht="13.95" customHeight="1" outlineLevel="1" x14ac:dyDescent="0.3">
      <c r="A14" s="99">
        <v>660210</v>
      </c>
      <c r="B14" s="121" t="s">
        <v>22</v>
      </c>
      <c r="C14" s="92">
        <f>'KV-Gehälter pro PersGrp'!D10</f>
        <v>5808.2</v>
      </c>
      <c r="D14" s="81"/>
      <c r="E14" s="82"/>
      <c r="F14" s="119">
        <f t="shared" si="5"/>
        <v>0</v>
      </c>
      <c r="G14" s="81"/>
      <c r="H14" s="82"/>
      <c r="I14" s="119">
        <f t="shared" si="0"/>
        <v>0</v>
      </c>
      <c r="J14" s="81"/>
      <c r="K14" s="82"/>
      <c r="L14" s="119">
        <f t="shared" si="1"/>
        <v>0</v>
      </c>
      <c r="M14" s="81"/>
      <c r="N14" s="82"/>
      <c r="O14" s="119">
        <f t="shared" si="2"/>
        <v>0</v>
      </c>
      <c r="P14" s="81"/>
      <c r="Q14" s="82"/>
      <c r="R14" s="119">
        <f t="shared" si="3"/>
        <v>0</v>
      </c>
      <c r="S14" s="128">
        <f t="shared" si="4"/>
        <v>0</v>
      </c>
    </row>
    <row r="15" spans="1:25" ht="13.95" customHeight="1" outlineLevel="1" x14ac:dyDescent="0.3">
      <c r="A15" s="99">
        <v>661210</v>
      </c>
      <c r="B15" s="121" t="s">
        <v>23</v>
      </c>
      <c r="C15" s="92">
        <f>'KV-Gehälter pro PersGrp'!D11</f>
        <v>6285.8</v>
      </c>
      <c r="D15" s="81"/>
      <c r="E15" s="82"/>
      <c r="F15" s="119">
        <f t="shared" si="5"/>
        <v>0</v>
      </c>
      <c r="G15" s="81"/>
      <c r="H15" s="82"/>
      <c r="I15" s="119">
        <f t="shared" si="0"/>
        <v>0</v>
      </c>
      <c r="J15" s="81"/>
      <c r="K15" s="82"/>
      <c r="L15" s="119">
        <f t="shared" si="1"/>
        <v>0</v>
      </c>
      <c r="M15" s="81"/>
      <c r="N15" s="82"/>
      <c r="O15" s="119">
        <f t="shared" si="2"/>
        <v>0</v>
      </c>
      <c r="P15" s="81"/>
      <c r="Q15" s="82"/>
      <c r="R15" s="119">
        <f t="shared" si="3"/>
        <v>0</v>
      </c>
      <c r="S15" s="128">
        <f t="shared" si="4"/>
        <v>0</v>
      </c>
    </row>
    <row r="16" spans="1:25" ht="13.95" customHeight="1" outlineLevel="1" x14ac:dyDescent="0.3">
      <c r="A16" s="99">
        <v>660420</v>
      </c>
      <c r="B16" s="121" t="s">
        <v>25</v>
      </c>
      <c r="C16" s="92">
        <f>'KV-Gehälter pro PersGrp'!D12</f>
        <v>4932.8999999999996</v>
      </c>
      <c r="D16" s="81"/>
      <c r="E16" s="82"/>
      <c r="F16" s="119">
        <f t="shared" si="5"/>
        <v>0</v>
      </c>
      <c r="G16" s="81"/>
      <c r="H16" s="82"/>
      <c r="I16" s="119">
        <f t="shared" si="0"/>
        <v>0</v>
      </c>
      <c r="J16" s="81"/>
      <c r="K16" s="82"/>
      <c r="L16" s="119">
        <f t="shared" si="1"/>
        <v>0</v>
      </c>
      <c r="M16" s="81"/>
      <c r="N16" s="82"/>
      <c r="O16" s="119">
        <f t="shared" si="2"/>
        <v>0</v>
      </c>
      <c r="P16" s="81"/>
      <c r="Q16" s="82"/>
      <c r="R16" s="119">
        <f t="shared" si="3"/>
        <v>0</v>
      </c>
      <c r="S16" s="128">
        <f t="shared" si="4"/>
        <v>0</v>
      </c>
    </row>
    <row r="17" spans="1:22" outlineLevel="1" collapsed="1" x14ac:dyDescent="0.3">
      <c r="A17" s="99">
        <v>660410</v>
      </c>
      <c r="B17" s="121" t="s">
        <v>24</v>
      </c>
      <c r="C17" s="92">
        <f>'KV-Gehälter pro PersGrp'!D12</f>
        <v>4932.8999999999996</v>
      </c>
      <c r="D17" s="81"/>
      <c r="E17" s="82"/>
      <c r="F17" s="119">
        <f t="shared" si="5"/>
        <v>0</v>
      </c>
      <c r="G17" s="81"/>
      <c r="H17" s="82"/>
      <c r="I17" s="119">
        <f t="shared" si="0"/>
        <v>0</v>
      </c>
      <c r="J17" s="81"/>
      <c r="K17" s="82"/>
      <c r="L17" s="119">
        <f t="shared" si="1"/>
        <v>0</v>
      </c>
      <c r="M17" s="81"/>
      <c r="N17" s="82"/>
      <c r="O17" s="119">
        <f t="shared" si="2"/>
        <v>0</v>
      </c>
      <c r="P17" s="81"/>
      <c r="Q17" s="82"/>
      <c r="R17" s="119">
        <f t="shared" si="3"/>
        <v>0</v>
      </c>
      <c r="S17" s="128">
        <f t="shared" si="4"/>
        <v>0</v>
      </c>
    </row>
    <row r="18" spans="1:22" ht="12.75" hidden="1" customHeight="1" outlineLevel="2" x14ac:dyDescent="0.3">
      <c r="A18" s="99">
        <v>660510</v>
      </c>
      <c r="B18" s="121" t="s">
        <v>26</v>
      </c>
      <c r="C18" s="92">
        <f>'KV-Gehälter pro PersGrp'!D14</f>
        <v>3714.8</v>
      </c>
      <c r="D18" s="81"/>
      <c r="E18" s="82"/>
      <c r="F18" s="119">
        <f t="shared" si="5"/>
        <v>0</v>
      </c>
      <c r="G18" s="81"/>
      <c r="H18" s="82"/>
      <c r="I18" s="119">
        <f t="shared" si="0"/>
        <v>0</v>
      </c>
      <c r="J18" s="81"/>
      <c r="K18" s="82"/>
      <c r="L18" s="119">
        <f t="shared" si="1"/>
        <v>0</v>
      </c>
      <c r="M18" s="81"/>
      <c r="N18" s="82"/>
      <c r="O18" s="119">
        <f t="shared" si="2"/>
        <v>0</v>
      </c>
      <c r="P18" s="81"/>
      <c r="Q18" s="82"/>
      <c r="R18" s="119">
        <f t="shared" si="3"/>
        <v>0</v>
      </c>
      <c r="S18" s="128">
        <f t="shared" si="4"/>
        <v>0</v>
      </c>
    </row>
    <row r="19" spans="1:22" outlineLevel="1" collapsed="1" x14ac:dyDescent="0.3">
      <c r="A19" s="99">
        <v>660710</v>
      </c>
      <c r="B19" s="121" t="s">
        <v>27</v>
      </c>
      <c r="C19" s="92">
        <f>'KV-Gehälter pro PersGrp'!D15</f>
        <v>3714.8</v>
      </c>
      <c r="D19" s="81"/>
      <c r="E19" s="82"/>
      <c r="F19" s="119">
        <f t="shared" si="5"/>
        <v>0</v>
      </c>
      <c r="G19" s="81"/>
      <c r="H19" s="82"/>
      <c r="I19" s="119">
        <f t="shared" si="0"/>
        <v>0</v>
      </c>
      <c r="J19" s="81"/>
      <c r="K19" s="82"/>
      <c r="L19" s="119">
        <f t="shared" si="1"/>
        <v>0</v>
      </c>
      <c r="M19" s="81"/>
      <c r="N19" s="82"/>
      <c r="O19" s="119">
        <f t="shared" si="2"/>
        <v>0</v>
      </c>
      <c r="P19" s="81"/>
      <c r="Q19" s="82"/>
      <c r="R19" s="119">
        <f t="shared" si="3"/>
        <v>0</v>
      </c>
      <c r="S19" s="128">
        <f t="shared" si="4"/>
        <v>0</v>
      </c>
      <c r="T19" s="15"/>
      <c r="U19" s="5"/>
    </row>
    <row r="20" spans="1:22" ht="13.95" customHeight="1" outlineLevel="2" x14ac:dyDescent="0.3">
      <c r="A20" s="99">
        <v>661010</v>
      </c>
      <c r="B20" s="121" t="s">
        <v>28</v>
      </c>
      <c r="C20" s="92">
        <f>'KV-Gehälter pro PersGrp'!D16</f>
        <v>3714.8</v>
      </c>
      <c r="D20" s="81"/>
      <c r="E20" s="82"/>
      <c r="F20" s="119">
        <f t="shared" si="5"/>
        <v>0</v>
      </c>
      <c r="G20" s="81"/>
      <c r="H20" s="82"/>
      <c r="I20" s="119">
        <f t="shared" si="0"/>
        <v>0</v>
      </c>
      <c r="J20" s="81"/>
      <c r="K20" s="82"/>
      <c r="L20" s="119">
        <f t="shared" si="1"/>
        <v>0</v>
      </c>
      <c r="M20" s="81"/>
      <c r="N20" s="82"/>
      <c r="O20" s="119">
        <f t="shared" si="2"/>
        <v>0</v>
      </c>
      <c r="P20" s="81"/>
      <c r="Q20" s="82"/>
      <c r="R20" s="119">
        <f t="shared" si="3"/>
        <v>0</v>
      </c>
      <c r="S20" s="128">
        <f t="shared" si="4"/>
        <v>0</v>
      </c>
    </row>
    <row r="21" spans="1:22" ht="13.95" customHeight="1" outlineLevel="2" x14ac:dyDescent="0.3">
      <c r="A21" s="99">
        <v>660810</v>
      </c>
      <c r="B21" s="121" t="s">
        <v>129</v>
      </c>
      <c r="C21" s="92">
        <f>'KV-Gehälter pro PersGrp'!D17</f>
        <v>3714.8</v>
      </c>
      <c r="D21" s="81"/>
      <c r="E21" s="82"/>
      <c r="F21" s="119">
        <f t="shared" si="5"/>
        <v>0</v>
      </c>
      <c r="G21" s="81"/>
      <c r="H21" s="82"/>
      <c r="I21" s="119">
        <f t="shared" si="0"/>
        <v>0</v>
      </c>
      <c r="J21" s="81"/>
      <c r="K21" s="82"/>
      <c r="L21" s="119">
        <f t="shared" si="1"/>
        <v>0</v>
      </c>
      <c r="M21" s="81"/>
      <c r="N21" s="82"/>
      <c r="O21" s="119">
        <f t="shared" si="2"/>
        <v>0</v>
      </c>
      <c r="P21" s="81"/>
      <c r="Q21" s="82"/>
      <c r="R21" s="119">
        <f t="shared" si="3"/>
        <v>0</v>
      </c>
      <c r="S21" s="128">
        <f t="shared" si="4"/>
        <v>0</v>
      </c>
    </row>
    <row r="22" spans="1:22" ht="13.95" customHeight="1" outlineLevel="2" x14ac:dyDescent="0.3">
      <c r="A22" s="99">
        <v>661110</v>
      </c>
      <c r="B22" s="121" t="s">
        <v>30</v>
      </c>
      <c r="C22" s="92">
        <f>'KV-Gehälter pro PersGrp'!D18</f>
        <v>3714.8</v>
      </c>
      <c r="D22" s="81"/>
      <c r="E22" s="82"/>
      <c r="F22" s="119">
        <f t="shared" si="5"/>
        <v>0</v>
      </c>
      <c r="G22" s="81"/>
      <c r="H22" s="82"/>
      <c r="I22" s="119">
        <f t="shared" si="0"/>
        <v>0</v>
      </c>
      <c r="J22" s="81"/>
      <c r="K22" s="82"/>
      <c r="L22" s="119">
        <f t="shared" si="1"/>
        <v>0</v>
      </c>
      <c r="M22" s="81"/>
      <c r="N22" s="82"/>
      <c r="O22" s="119">
        <f t="shared" si="2"/>
        <v>0</v>
      </c>
      <c r="P22" s="81"/>
      <c r="Q22" s="82"/>
      <c r="R22" s="119">
        <f t="shared" si="3"/>
        <v>0</v>
      </c>
      <c r="S22" s="128">
        <f t="shared" si="4"/>
        <v>0</v>
      </c>
    </row>
    <row r="23" spans="1:22" outlineLevel="1" x14ac:dyDescent="0.3">
      <c r="A23" s="99">
        <v>662010</v>
      </c>
      <c r="B23" s="121" t="s">
        <v>130</v>
      </c>
      <c r="C23" s="92">
        <f>'KV-Gehälter pro PersGrp'!D41</f>
        <v>2699.2</v>
      </c>
      <c r="D23" s="81"/>
      <c r="E23" s="82"/>
      <c r="F23" s="119">
        <f t="shared" si="5"/>
        <v>0</v>
      </c>
      <c r="G23" s="81"/>
      <c r="H23" s="82"/>
      <c r="I23" s="119">
        <f t="shared" si="0"/>
        <v>0</v>
      </c>
      <c r="J23" s="81"/>
      <c r="K23" s="82"/>
      <c r="L23" s="119">
        <f t="shared" si="1"/>
        <v>0</v>
      </c>
      <c r="M23" s="81"/>
      <c r="N23" s="82"/>
      <c r="O23" s="119">
        <f t="shared" si="2"/>
        <v>0</v>
      </c>
      <c r="P23" s="81"/>
      <c r="Q23" s="82"/>
      <c r="R23" s="119">
        <f t="shared" si="3"/>
        <v>0</v>
      </c>
      <c r="S23" s="128">
        <f t="shared" si="4"/>
        <v>0</v>
      </c>
    </row>
    <row r="24" spans="1:22" ht="12.75" hidden="1" customHeight="1" outlineLevel="2" x14ac:dyDescent="0.3">
      <c r="A24" s="99">
        <v>662020</v>
      </c>
      <c r="B24" s="121" t="s">
        <v>160</v>
      </c>
      <c r="C24" s="92">
        <f>'KV-Gehälter pro PersGrp'!D41</f>
        <v>2699.2</v>
      </c>
      <c r="D24" s="81"/>
      <c r="E24" s="82"/>
      <c r="F24" s="119">
        <f t="shared" si="5"/>
        <v>0</v>
      </c>
      <c r="G24" s="81"/>
      <c r="H24" s="82"/>
      <c r="I24" s="119">
        <f t="shared" si="0"/>
        <v>0</v>
      </c>
      <c r="J24" s="81"/>
      <c r="K24" s="82"/>
      <c r="L24" s="119">
        <f t="shared" si="1"/>
        <v>0</v>
      </c>
      <c r="M24" s="81"/>
      <c r="N24" s="82"/>
      <c r="O24" s="119">
        <f t="shared" si="2"/>
        <v>0</v>
      </c>
      <c r="P24" s="81"/>
      <c r="Q24" s="82"/>
      <c r="R24" s="119">
        <f t="shared" si="3"/>
        <v>0</v>
      </c>
      <c r="S24" s="128">
        <f t="shared" si="4"/>
        <v>0</v>
      </c>
      <c r="T24" s="173"/>
    </row>
    <row r="25" spans="1:22" outlineLevel="1" collapsed="1" x14ac:dyDescent="0.3">
      <c r="A25" s="84"/>
      <c r="B25" s="84" t="s">
        <v>18</v>
      </c>
      <c r="C25" s="93"/>
      <c r="D25" s="86">
        <f>SUM(D12:D24)</f>
        <v>0</v>
      </c>
      <c r="E25" s="87">
        <f t="shared" ref="E25:R25" si="6">SUM(E12:E24)</f>
        <v>0</v>
      </c>
      <c r="F25" s="118">
        <f t="shared" si="6"/>
        <v>0</v>
      </c>
      <c r="G25" s="86">
        <f t="shared" si="6"/>
        <v>0</v>
      </c>
      <c r="H25" s="87">
        <f t="shared" si="6"/>
        <v>0</v>
      </c>
      <c r="I25" s="118">
        <f t="shared" si="6"/>
        <v>0</v>
      </c>
      <c r="J25" s="86">
        <f t="shared" si="6"/>
        <v>0</v>
      </c>
      <c r="K25" s="87">
        <f t="shared" si="6"/>
        <v>0</v>
      </c>
      <c r="L25" s="118">
        <f t="shared" si="6"/>
        <v>0</v>
      </c>
      <c r="M25" s="86">
        <f t="shared" si="6"/>
        <v>0</v>
      </c>
      <c r="N25" s="87">
        <f t="shared" si="6"/>
        <v>0</v>
      </c>
      <c r="O25" s="118">
        <f t="shared" si="6"/>
        <v>0</v>
      </c>
      <c r="P25" s="86">
        <f t="shared" si="6"/>
        <v>0</v>
      </c>
      <c r="Q25" s="87">
        <f t="shared" si="6"/>
        <v>0</v>
      </c>
      <c r="R25" s="118">
        <f t="shared" si="6"/>
        <v>0</v>
      </c>
      <c r="S25" s="129">
        <f>F25+I25+L25+O25+R25</f>
        <v>0</v>
      </c>
    </row>
    <row r="26" spans="1:22" ht="13.95" hidden="1" customHeight="1" outlineLevel="2" x14ac:dyDescent="0.3">
      <c r="A26" s="99">
        <v>691010</v>
      </c>
      <c r="B26" s="78" t="s">
        <v>33</v>
      </c>
      <c r="C26" s="112">
        <v>3.9E-2</v>
      </c>
      <c r="D26" s="54"/>
      <c r="E26" s="54"/>
      <c r="F26" s="119">
        <f>ROUND(F25*$C$26,2)</f>
        <v>0</v>
      </c>
      <c r="G26" s="54"/>
      <c r="H26" s="54"/>
      <c r="I26" s="119">
        <f>ROUND(I25*$C$26,2)</f>
        <v>0</v>
      </c>
      <c r="J26" s="54"/>
      <c r="K26" s="54"/>
      <c r="L26" s="119">
        <f>ROUND(L25*$C$26,2)</f>
        <v>0</v>
      </c>
      <c r="M26" s="54"/>
      <c r="N26" s="54"/>
      <c r="O26" s="119">
        <f>ROUND(O25*$C$26,2)</f>
        <v>0</v>
      </c>
      <c r="P26" s="54"/>
      <c r="Q26" s="54"/>
      <c r="R26" s="119">
        <f>ROUND(R25*$C$26,2)</f>
        <v>0</v>
      </c>
      <c r="S26" s="128">
        <f>F26+I26+L26+O26+R26</f>
        <v>0</v>
      </c>
      <c r="U26" s="5"/>
      <c r="V26" s="5"/>
    </row>
    <row r="27" spans="1:22" ht="13.95" hidden="1" customHeight="1" outlineLevel="2" x14ac:dyDescent="0.3">
      <c r="A27" s="116">
        <v>691230</v>
      </c>
      <c r="B27" s="78" t="s">
        <v>34</v>
      </c>
      <c r="C27" s="112">
        <f>(3.535+0.47+12.55+3+0.1+0.5)/100</f>
        <v>0.20155000000000001</v>
      </c>
      <c r="D27" s="54"/>
      <c r="E27" s="54"/>
      <c r="F27" s="119">
        <f>ROUND(F25*$C$27,2)</f>
        <v>0</v>
      </c>
      <c r="G27" s="54"/>
      <c r="H27" s="54"/>
      <c r="I27" s="119">
        <f>ROUND(I25*$C$27,2)</f>
        <v>0</v>
      </c>
      <c r="J27" s="54"/>
      <c r="K27" s="54"/>
      <c r="L27" s="119">
        <f>ROUND(L25*$C$27,2)</f>
        <v>0</v>
      </c>
      <c r="M27" s="54"/>
      <c r="N27" s="54"/>
      <c r="O27" s="119">
        <f>ROUND(O25*$C$27,2)</f>
        <v>0</v>
      </c>
      <c r="P27" s="54"/>
      <c r="Q27" s="54"/>
      <c r="R27" s="119">
        <f>ROUND(R25*$C$27,2)</f>
        <v>0</v>
      </c>
      <c r="S27" s="128">
        <f t="shared" ref="S27:S30" si="7">F27+I27+L27+O27+R27</f>
        <v>0</v>
      </c>
      <c r="T27" s="15"/>
      <c r="U27" s="5"/>
    </row>
    <row r="28" spans="1:22" ht="13.95" hidden="1" customHeight="1" outlineLevel="2" x14ac:dyDescent="0.3">
      <c r="A28" s="116">
        <v>691510</v>
      </c>
      <c r="B28" s="78" t="s">
        <v>35</v>
      </c>
      <c r="C28" s="113">
        <v>2</v>
      </c>
      <c r="D28" s="54"/>
      <c r="E28" s="54"/>
      <c r="F28" s="119">
        <f>ROUND($C$28*51.5/12*E25,2)</f>
        <v>0</v>
      </c>
      <c r="G28" s="54"/>
      <c r="H28" s="54"/>
      <c r="I28" s="119">
        <f>ROUND($C$28*51.5/12*H25,2)</f>
        <v>0</v>
      </c>
      <c r="J28" s="54"/>
      <c r="K28" s="54"/>
      <c r="L28" s="119">
        <f>ROUND($C$28*51.5/12*K25,2)</f>
        <v>0</v>
      </c>
      <c r="M28" s="54"/>
      <c r="N28" s="54"/>
      <c r="O28" s="119">
        <f>ROUND($C$28*51.5/12*N25,2)</f>
        <v>0</v>
      </c>
      <c r="P28" s="54"/>
      <c r="Q28" s="54"/>
      <c r="R28" s="119">
        <f>ROUND($C$28*51.5/12*Q25,2)</f>
        <v>0</v>
      </c>
      <c r="S28" s="128">
        <f t="shared" si="7"/>
        <v>0</v>
      </c>
      <c r="T28" s="15"/>
      <c r="U28" s="5"/>
    </row>
    <row r="29" spans="1:22" ht="13.95" hidden="1" customHeight="1" outlineLevel="2" x14ac:dyDescent="0.3">
      <c r="A29" s="99">
        <v>691920</v>
      </c>
      <c r="B29" s="78" t="s">
        <v>36</v>
      </c>
      <c r="C29" s="112">
        <v>1.5299999999999999E-2</v>
      </c>
      <c r="D29" s="54"/>
      <c r="E29" s="54"/>
      <c r="F29" s="119">
        <f>ROUND(F25*$C$29,2)</f>
        <v>0</v>
      </c>
      <c r="G29" s="54"/>
      <c r="H29" s="54"/>
      <c r="I29" s="119">
        <f>ROUND(I25*$C$29,2)</f>
        <v>0</v>
      </c>
      <c r="J29" s="54"/>
      <c r="K29" s="54"/>
      <c r="L29" s="119">
        <f>ROUND(L25*$C$29,2)</f>
        <v>0</v>
      </c>
      <c r="M29" s="54"/>
      <c r="N29" s="54"/>
      <c r="O29" s="119">
        <f>ROUND(O25*$C$29,2)</f>
        <v>0</v>
      </c>
      <c r="P29" s="54"/>
      <c r="Q29" s="54"/>
      <c r="R29" s="119">
        <f>ROUND(R25*$C$29,2)</f>
        <v>0</v>
      </c>
      <c r="S29" s="128">
        <f t="shared" ref="S29" si="8">F29+I29+L29+O29+R29</f>
        <v>0</v>
      </c>
      <c r="U29" s="5"/>
    </row>
    <row r="30" spans="1:22" ht="13.95" hidden="1" customHeight="1" outlineLevel="2" x14ac:dyDescent="0.3">
      <c r="A30" s="99">
        <v>691840</v>
      </c>
      <c r="B30" s="78" t="s">
        <v>64</v>
      </c>
      <c r="C30" s="112">
        <v>3.075E-2</v>
      </c>
      <c r="D30" s="54"/>
      <c r="E30" s="54"/>
      <c r="F30" s="119">
        <f>ROUND(SUM(F13:F24)*$C$30,2)</f>
        <v>0</v>
      </c>
      <c r="G30" s="54"/>
      <c r="H30" s="54"/>
      <c r="I30" s="119">
        <f>ROUND(SUM(I13:I24)*$C$30,2)</f>
        <v>0</v>
      </c>
      <c r="J30" s="54"/>
      <c r="K30" s="54"/>
      <c r="L30" s="119">
        <f>ROUND(SUM(L13:L24)*$C$30,2)</f>
        <v>0</v>
      </c>
      <c r="M30" s="54"/>
      <c r="N30" s="54"/>
      <c r="O30" s="119">
        <f>ROUND(SUM(O13:O24)*$C$30,2)</f>
        <v>0</v>
      </c>
      <c r="P30" s="54"/>
      <c r="Q30" s="54"/>
      <c r="R30" s="119">
        <f>ROUND(SUM(R13:R24)*$C$30,2)</f>
        <v>0</v>
      </c>
      <c r="S30" s="128">
        <f t="shared" si="7"/>
        <v>0</v>
      </c>
      <c r="U30" s="5"/>
    </row>
    <row r="31" spans="1:22" ht="13.95" hidden="1" customHeight="1" outlineLevel="2" x14ac:dyDescent="0.3">
      <c r="A31" s="99">
        <v>691830</v>
      </c>
      <c r="B31" s="78" t="s">
        <v>63</v>
      </c>
      <c r="C31" s="112">
        <v>0.10249999999999999</v>
      </c>
      <c r="D31" s="54"/>
      <c r="E31" s="54"/>
      <c r="F31" s="119">
        <f>ROUND(F12*$C$31,2)</f>
        <v>0</v>
      </c>
      <c r="G31" s="54"/>
      <c r="H31" s="54"/>
      <c r="I31" s="119">
        <f>ROUND(I12*$C$31,2)</f>
        <v>0</v>
      </c>
      <c r="J31" s="54"/>
      <c r="K31" s="54"/>
      <c r="L31" s="119">
        <f>ROUND(L12*$C$31,2)</f>
        <v>0</v>
      </c>
      <c r="M31" s="54"/>
      <c r="N31" s="54"/>
      <c r="O31" s="119">
        <f>ROUND(O12*$C$31,2)</f>
        <v>0</v>
      </c>
      <c r="P31" s="54"/>
      <c r="Q31" s="54"/>
      <c r="R31" s="119">
        <f>ROUND(R12*$C$31,2)</f>
        <v>0</v>
      </c>
      <c r="S31" s="128">
        <f t="shared" ref="S31" si="9">F31+I31+L31+O31+R31</f>
        <v>0</v>
      </c>
      <c r="T31" s="15"/>
    </row>
    <row r="32" spans="1:22" ht="12.75" customHeight="1" outlineLevel="1" collapsed="1" x14ac:dyDescent="0.3">
      <c r="A32" s="84"/>
      <c r="B32" s="85" t="s">
        <v>16</v>
      </c>
      <c r="C32" s="96"/>
      <c r="D32" s="124"/>
      <c r="E32" s="125"/>
      <c r="F32" s="118">
        <f>SUM(F26:F31)</f>
        <v>0</v>
      </c>
      <c r="G32" s="124"/>
      <c r="H32" s="125"/>
      <c r="I32" s="118">
        <f>SUM(I26:I31)</f>
        <v>0</v>
      </c>
      <c r="J32" s="124"/>
      <c r="K32" s="125"/>
      <c r="L32" s="118">
        <f>SUM(L26:L31)</f>
        <v>0</v>
      </c>
      <c r="M32" s="124"/>
      <c r="N32" s="125"/>
      <c r="O32" s="118">
        <f>SUM(O26:O31)</f>
        <v>0</v>
      </c>
      <c r="P32" s="124"/>
      <c r="Q32" s="125"/>
      <c r="R32" s="118">
        <f>SUM(R26:R31)</f>
        <v>0</v>
      </c>
      <c r="S32" s="129">
        <f>F32+I32+L32+O32+R32</f>
        <v>0</v>
      </c>
      <c r="U32" s="6"/>
      <c r="V32" s="7"/>
    </row>
    <row r="33" spans="1:25" s="8" customFormat="1" ht="18.75" customHeight="1" x14ac:dyDescent="0.3">
      <c r="A33" s="101"/>
      <c r="B33" s="231" t="s">
        <v>2</v>
      </c>
      <c r="C33" s="232"/>
      <c r="D33" s="221">
        <f>F25+F32</f>
        <v>0</v>
      </c>
      <c r="E33" s="222"/>
      <c r="F33" s="223"/>
      <c r="G33" s="221">
        <f>I25+I32</f>
        <v>0</v>
      </c>
      <c r="H33" s="222"/>
      <c r="I33" s="223"/>
      <c r="J33" s="221">
        <f>L25+L32</f>
        <v>0</v>
      </c>
      <c r="K33" s="222"/>
      <c r="L33" s="223"/>
      <c r="M33" s="221">
        <f>O25+O32</f>
        <v>0</v>
      </c>
      <c r="N33" s="222"/>
      <c r="O33" s="223"/>
      <c r="P33" s="221">
        <f>R25+R32</f>
        <v>0</v>
      </c>
      <c r="Q33" s="222"/>
      <c r="R33" s="223"/>
      <c r="S33" s="117">
        <f>S25+S32</f>
        <v>0</v>
      </c>
    </row>
    <row r="34" spans="1:25" ht="15" customHeight="1" x14ac:dyDescent="0.3"/>
    <row r="35" spans="1:25" s="4" customFormat="1" ht="12.75" customHeight="1" x14ac:dyDescent="0.3">
      <c r="A35" s="205"/>
      <c r="B35" s="205" t="s">
        <v>184</v>
      </c>
      <c r="C35" s="187" t="s">
        <v>121</v>
      </c>
      <c r="D35" s="202">
        <f>D10</f>
        <v>2025</v>
      </c>
      <c r="E35" s="203"/>
      <c r="F35" s="204"/>
      <c r="G35" s="202">
        <f t="shared" ref="G35" si="10">G10</f>
        <v>2026</v>
      </c>
      <c r="H35" s="203"/>
      <c r="I35" s="204"/>
      <c r="J35" s="202">
        <f t="shared" ref="J35" si="11">J10</f>
        <v>2027</v>
      </c>
      <c r="K35" s="203"/>
      <c r="L35" s="204"/>
      <c r="M35" s="202">
        <f t="shared" ref="M35" si="12">M10</f>
        <v>2028</v>
      </c>
      <c r="N35" s="203"/>
      <c r="O35" s="204"/>
      <c r="P35" s="202">
        <f t="shared" ref="P35" si="13">P10</f>
        <v>2029</v>
      </c>
      <c r="Q35" s="203"/>
      <c r="R35" s="204"/>
      <c r="S35" s="187" t="s">
        <v>123</v>
      </c>
      <c r="T35" s="8"/>
      <c r="U35" s="2"/>
      <c r="V35" s="8"/>
      <c r="W35" s="8"/>
      <c r="X35" s="8"/>
      <c r="Y35" s="8"/>
    </row>
    <row r="36" spans="1:25" s="4" customFormat="1" x14ac:dyDescent="0.3">
      <c r="A36" s="205"/>
      <c r="B36" s="205"/>
      <c r="C36" s="187"/>
      <c r="D36" s="90" t="s">
        <v>139</v>
      </c>
      <c r="E36" s="90" t="s">
        <v>5</v>
      </c>
      <c r="F36" s="91" t="s">
        <v>4</v>
      </c>
      <c r="G36" s="90" t="str">
        <f>+D36</f>
        <v>(S)WS</v>
      </c>
      <c r="H36" s="90" t="s">
        <v>5</v>
      </c>
      <c r="I36" s="91" t="s">
        <v>4</v>
      </c>
      <c r="J36" s="90" t="str">
        <f>+G36</f>
        <v>(S)WS</v>
      </c>
      <c r="K36" s="90" t="s">
        <v>5</v>
      </c>
      <c r="L36" s="91" t="s">
        <v>4</v>
      </c>
      <c r="M36" s="90" t="str">
        <f>+J36</f>
        <v>(S)WS</v>
      </c>
      <c r="N36" s="90" t="s">
        <v>5</v>
      </c>
      <c r="O36" s="91" t="s">
        <v>4</v>
      </c>
      <c r="P36" s="90" t="str">
        <f>+M36</f>
        <v>(S)WS</v>
      </c>
      <c r="Q36" s="90" t="s">
        <v>5</v>
      </c>
      <c r="R36" s="91" t="s">
        <v>4</v>
      </c>
      <c r="S36" s="187"/>
      <c r="T36" s="8"/>
      <c r="U36" s="2"/>
      <c r="V36" s="8"/>
      <c r="W36" s="8"/>
      <c r="X36" s="8"/>
      <c r="Y36" s="8"/>
    </row>
    <row r="37" spans="1:25" ht="13.95" customHeight="1" outlineLevel="2" x14ac:dyDescent="0.3">
      <c r="A37" s="103">
        <v>673010</v>
      </c>
      <c r="B37" s="121" t="s">
        <v>179</v>
      </c>
      <c r="C37" s="92">
        <f>'KV-Gehälter pro PersGrp'!D26</f>
        <v>286.04165999999998</v>
      </c>
      <c r="D37" s="81"/>
      <c r="E37" s="81"/>
      <c r="F37" s="119">
        <f>ROUND(C37*D37*E37/12*14,2)</f>
        <v>0</v>
      </c>
      <c r="G37" s="81"/>
      <c r="H37" s="81"/>
      <c r="I37" s="119">
        <f>ROUND(($C37*G37*H37/12*14)*$G$132,2)</f>
        <v>0</v>
      </c>
      <c r="J37" s="81"/>
      <c r="K37" s="81"/>
      <c r="L37" s="119">
        <f t="shared" ref="L37:L44" si="14">ROUND((C37*J37*K37/12*14)*$G$132*$G$133,2)</f>
        <v>0</v>
      </c>
      <c r="M37" s="81"/>
      <c r="N37" s="81"/>
      <c r="O37" s="119">
        <f t="shared" ref="O37:O44" si="15">ROUND((C37*M37*N37/12*14)*$G$132*$G$133*$G$134,2)</f>
        <v>0</v>
      </c>
      <c r="P37" s="81"/>
      <c r="Q37" s="81"/>
      <c r="R37" s="119">
        <f t="shared" ref="R37:R44" si="16">ROUND((C37*P37*Q37/12*14)*$G$132*$G$133*$G$134*$G$135,2)</f>
        <v>0</v>
      </c>
      <c r="S37" s="128">
        <f t="shared" ref="S37:S86" si="17">F37+I37+L37+O37+R37</f>
        <v>0</v>
      </c>
    </row>
    <row r="38" spans="1:25" ht="13.95" customHeight="1" outlineLevel="2" x14ac:dyDescent="0.3">
      <c r="A38" s="103">
        <v>673010</v>
      </c>
      <c r="B38" s="121" t="s">
        <v>180</v>
      </c>
      <c r="C38" s="92">
        <f>'KV-Gehälter pro PersGrp'!D27</f>
        <v>242.63249999999999</v>
      </c>
      <c r="D38" s="81"/>
      <c r="E38" s="81"/>
      <c r="F38" s="119">
        <f t="shared" ref="F38:F44" si="18">ROUND(C38*D38*E38/12*14,2)</f>
        <v>0</v>
      </c>
      <c r="G38" s="81"/>
      <c r="H38" s="81"/>
      <c r="I38" s="119">
        <f>ROUND(($C38*G38*H38/12*14)*$G$132,2)</f>
        <v>0</v>
      </c>
      <c r="J38" s="81"/>
      <c r="K38" s="81"/>
      <c r="L38" s="119">
        <f t="shared" si="14"/>
        <v>0</v>
      </c>
      <c r="M38" s="81"/>
      <c r="N38" s="81"/>
      <c r="O38" s="119">
        <f t="shared" si="15"/>
        <v>0</v>
      </c>
      <c r="P38" s="81"/>
      <c r="Q38" s="81"/>
      <c r="R38" s="119">
        <f t="shared" si="16"/>
        <v>0</v>
      </c>
      <c r="S38" s="128">
        <f t="shared" si="17"/>
        <v>0</v>
      </c>
    </row>
    <row r="39" spans="1:25" ht="13.95" customHeight="1" outlineLevel="2" x14ac:dyDescent="0.3">
      <c r="A39" s="103">
        <v>673010</v>
      </c>
      <c r="B39" s="121" t="s">
        <v>181</v>
      </c>
      <c r="C39" s="92">
        <f>'KV-Gehälter pro PersGrp'!D28</f>
        <v>154.26756</v>
      </c>
      <c r="D39" s="81"/>
      <c r="E39" s="81"/>
      <c r="F39" s="119">
        <f t="shared" si="18"/>
        <v>0</v>
      </c>
      <c r="G39" s="81"/>
      <c r="H39" s="81"/>
      <c r="I39" s="119">
        <f t="shared" ref="I39:I44" si="19">ROUND((C39*G39*H39/12*14)*$G$132,2)</f>
        <v>0</v>
      </c>
      <c r="J39" s="81"/>
      <c r="K39" s="81"/>
      <c r="L39" s="119">
        <f t="shared" si="14"/>
        <v>0</v>
      </c>
      <c r="M39" s="81"/>
      <c r="N39" s="81"/>
      <c r="O39" s="119">
        <f t="shared" si="15"/>
        <v>0</v>
      </c>
      <c r="P39" s="81"/>
      <c r="Q39" s="81"/>
      <c r="R39" s="119">
        <f t="shared" si="16"/>
        <v>0</v>
      </c>
      <c r="S39" s="128">
        <f t="shared" si="17"/>
        <v>0</v>
      </c>
    </row>
    <row r="40" spans="1:25" ht="13.95" customHeight="1" outlineLevel="2" x14ac:dyDescent="0.3">
      <c r="A40" s="103">
        <v>673010</v>
      </c>
      <c r="B40" s="121" t="s">
        <v>182</v>
      </c>
      <c r="C40" s="92">
        <f>'KV-Gehälter pro PersGrp'!D29</f>
        <v>143.01564000000002</v>
      </c>
      <c r="D40" s="81"/>
      <c r="E40" s="81"/>
      <c r="F40" s="119">
        <f t="shared" si="18"/>
        <v>0</v>
      </c>
      <c r="G40" s="81"/>
      <c r="H40" s="81"/>
      <c r="I40" s="119">
        <f t="shared" si="19"/>
        <v>0</v>
      </c>
      <c r="J40" s="81"/>
      <c r="K40" s="81"/>
      <c r="L40" s="119">
        <f t="shared" si="14"/>
        <v>0</v>
      </c>
      <c r="M40" s="81"/>
      <c r="N40" s="81"/>
      <c r="O40" s="119">
        <f t="shared" si="15"/>
        <v>0</v>
      </c>
      <c r="P40" s="81"/>
      <c r="Q40" s="81"/>
      <c r="R40" s="119">
        <f t="shared" si="16"/>
        <v>0</v>
      </c>
      <c r="S40" s="128">
        <f t="shared" si="17"/>
        <v>0</v>
      </c>
    </row>
    <row r="41" spans="1:25" ht="13.95" customHeight="1" outlineLevel="1" x14ac:dyDescent="0.3">
      <c r="A41" s="103">
        <v>673010</v>
      </c>
      <c r="B41" s="121" t="s">
        <v>161</v>
      </c>
      <c r="C41" s="92">
        <f>'KV-Gehälter pro PersGrp'!D30</f>
        <v>143.01564000000002</v>
      </c>
      <c r="D41" s="81"/>
      <c r="E41" s="81"/>
      <c r="F41" s="119">
        <f t="shared" si="18"/>
        <v>0</v>
      </c>
      <c r="G41" s="81"/>
      <c r="H41" s="81"/>
      <c r="I41" s="119">
        <f t="shared" si="19"/>
        <v>0</v>
      </c>
      <c r="J41" s="81"/>
      <c r="K41" s="81"/>
      <c r="L41" s="119">
        <f t="shared" si="14"/>
        <v>0</v>
      </c>
      <c r="M41" s="81"/>
      <c r="N41" s="81"/>
      <c r="O41" s="119">
        <f t="shared" si="15"/>
        <v>0</v>
      </c>
      <c r="P41" s="81"/>
      <c r="Q41" s="81"/>
      <c r="R41" s="119">
        <f t="shared" si="16"/>
        <v>0</v>
      </c>
      <c r="S41" s="128">
        <f t="shared" si="17"/>
        <v>0</v>
      </c>
    </row>
    <row r="42" spans="1:25" ht="13.95" customHeight="1" outlineLevel="2" x14ac:dyDescent="0.3">
      <c r="A42" s="103">
        <v>673010</v>
      </c>
      <c r="B42" s="121" t="s">
        <v>162</v>
      </c>
      <c r="C42" s="92">
        <f>'KV-Gehälter pro PersGrp'!D31</f>
        <v>61.559331428571433</v>
      </c>
      <c r="D42" s="81"/>
      <c r="E42" s="81"/>
      <c r="F42" s="119">
        <f t="shared" si="18"/>
        <v>0</v>
      </c>
      <c r="G42" s="81"/>
      <c r="H42" s="81"/>
      <c r="I42" s="119">
        <f t="shared" si="19"/>
        <v>0</v>
      </c>
      <c r="J42" s="81"/>
      <c r="K42" s="81"/>
      <c r="L42" s="119">
        <f t="shared" si="14"/>
        <v>0</v>
      </c>
      <c r="M42" s="81"/>
      <c r="N42" s="81"/>
      <c r="O42" s="119">
        <f t="shared" si="15"/>
        <v>0</v>
      </c>
      <c r="P42" s="81"/>
      <c r="Q42" s="81"/>
      <c r="R42" s="119">
        <f t="shared" si="16"/>
        <v>0</v>
      </c>
      <c r="S42" s="128">
        <f t="shared" si="17"/>
        <v>0</v>
      </c>
    </row>
    <row r="43" spans="1:25" ht="13.95" customHeight="1" outlineLevel="2" x14ac:dyDescent="0.3">
      <c r="A43" s="103">
        <v>673010</v>
      </c>
      <c r="B43" s="121" t="s">
        <v>163</v>
      </c>
      <c r="C43" s="92">
        <f>'KV-Gehälter pro PersGrp'!D32</f>
        <v>85.597928571428582</v>
      </c>
      <c r="D43" s="81"/>
      <c r="E43" s="81"/>
      <c r="F43" s="119">
        <f t="shared" si="18"/>
        <v>0</v>
      </c>
      <c r="G43" s="81"/>
      <c r="H43" s="81"/>
      <c r="I43" s="119">
        <f t="shared" si="19"/>
        <v>0</v>
      </c>
      <c r="J43" s="81"/>
      <c r="K43" s="81"/>
      <c r="L43" s="119">
        <f t="shared" si="14"/>
        <v>0</v>
      </c>
      <c r="M43" s="81"/>
      <c r="N43" s="81"/>
      <c r="O43" s="119">
        <f t="shared" si="15"/>
        <v>0</v>
      </c>
      <c r="P43" s="81"/>
      <c r="Q43" s="81"/>
      <c r="R43" s="119">
        <f t="shared" si="16"/>
        <v>0</v>
      </c>
      <c r="S43" s="128">
        <f t="shared" si="17"/>
        <v>0</v>
      </c>
    </row>
    <row r="44" spans="1:25" ht="13.95" customHeight="1" outlineLevel="1" x14ac:dyDescent="0.3">
      <c r="A44" s="103">
        <v>673010</v>
      </c>
      <c r="B44" s="121" t="s">
        <v>164</v>
      </c>
      <c r="C44" s="92">
        <f>'KV-Gehälter pro PersGrp'!D33</f>
        <v>105.28878857142857</v>
      </c>
      <c r="D44" s="81"/>
      <c r="E44" s="81"/>
      <c r="F44" s="119">
        <f t="shared" si="18"/>
        <v>0</v>
      </c>
      <c r="G44" s="81"/>
      <c r="H44" s="81"/>
      <c r="I44" s="119">
        <f t="shared" si="19"/>
        <v>0</v>
      </c>
      <c r="J44" s="81"/>
      <c r="K44" s="81"/>
      <c r="L44" s="119">
        <f t="shared" si="14"/>
        <v>0</v>
      </c>
      <c r="M44" s="81"/>
      <c r="N44" s="81"/>
      <c r="O44" s="119">
        <f t="shared" si="15"/>
        <v>0</v>
      </c>
      <c r="P44" s="81"/>
      <c r="Q44" s="81"/>
      <c r="R44" s="119">
        <f t="shared" si="16"/>
        <v>0</v>
      </c>
      <c r="S44" s="128">
        <f t="shared" si="17"/>
        <v>0</v>
      </c>
      <c r="U44" s="8"/>
    </row>
    <row r="45" spans="1:25" ht="13.95" customHeight="1" outlineLevel="1" x14ac:dyDescent="0.3">
      <c r="A45" s="103">
        <v>664610</v>
      </c>
      <c r="B45" s="121" t="s">
        <v>209</v>
      </c>
      <c r="C45" s="92">
        <f>+'KV-Gehälter pro PersGrp'!$D$19</f>
        <v>56.792872500000009</v>
      </c>
      <c r="D45" s="54"/>
      <c r="E45" s="54"/>
      <c r="F45" s="119">
        <f>SUM(F46:F55)</f>
        <v>0</v>
      </c>
      <c r="G45" s="54"/>
      <c r="H45" s="54"/>
      <c r="I45" s="119">
        <f>SUM(I46:I55)</f>
        <v>0</v>
      </c>
      <c r="J45" s="54"/>
      <c r="K45" s="54"/>
      <c r="L45" s="119">
        <f>SUM(L46:L55)</f>
        <v>0</v>
      </c>
      <c r="M45" s="54"/>
      <c r="N45" s="54"/>
      <c r="O45" s="119">
        <f>SUM(O46:O55)</f>
        <v>0</v>
      </c>
      <c r="P45" s="54"/>
      <c r="Q45" s="54"/>
      <c r="R45" s="119">
        <f>SUM(R46:R55)</f>
        <v>0</v>
      </c>
      <c r="S45" s="128">
        <f t="shared" si="17"/>
        <v>0</v>
      </c>
    </row>
    <row r="46" spans="1:25" ht="44.15" customHeight="1" outlineLevel="2" x14ac:dyDescent="0.3">
      <c r="A46" s="103"/>
      <c r="B46" s="121" t="s">
        <v>227</v>
      </c>
      <c r="C46" s="92">
        <f>+'KV-Gehälter pro PersGrp'!$D$19</f>
        <v>56.792872500000009</v>
      </c>
      <c r="D46" s="81"/>
      <c r="E46" s="81"/>
      <c r="F46" s="119">
        <f t="shared" ref="F46:F55" si="20">ROUND(C46*D46*E46,2)</f>
        <v>0</v>
      </c>
      <c r="G46" s="81"/>
      <c r="H46" s="81"/>
      <c r="I46" s="119">
        <f t="shared" ref="I46:I55" si="21">ROUND((C46*G46*H46)*$G$132,2)</f>
        <v>0</v>
      </c>
      <c r="J46" s="81"/>
      <c r="K46" s="81"/>
      <c r="L46" s="119">
        <f t="shared" ref="L46:L55" si="22">ROUND((C46*J46*K46)*$G$132*$G$133,2)</f>
        <v>0</v>
      </c>
      <c r="M46" s="81"/>
      <c r="N46" s="81"/>
      <c r="O46" s="119">
        <f t="shared" ref="O46:O55" si="23">ROUND((C46*M46*N46)*$G$132*$G$133*$G$134,2)</f>
        <v>0</v>
      </c>
      <c r="P46" s="81"/>
      <c r="Q46" s="81"/>
      <c r="R46" s="119">
        <f t="shared" ref="R46:R55" si="24">ROUND((C46*P46*Q46)*$G$132*$G$133*$G$134*$G$135,2)</f>
        <v>0</v>
      </c>
      <c r="S46" s="128">
        <f t="shared" si="17"/>
        <v>0</v>
      </c>
    </row>
    <row r="47" spans="1:25" ht="13.95" customHeight="1" outlineLevel="2" x14ac:dyDescent="0.3">
      <c r="A47" s="103"/>
      <c r="B47" s="121" t="s">
        <v>210</v>
      </c>
      <c r="C47" s="92">
        <f>+'KV-Gehälter pro PersGrp'!$D$19</f>
        <v>56.792872500000009</v>
      </c>
      <c r="D47" s="81"/>
      <c r="E47" s="81"/>
      <c r="F47" s="119">
        <f t="shared" si="20"/>
        <v>0</v>
      </c>
      <c r="G47" s="81"/>
      <c r="H47" s="81"/>
      <c r="I47" s="119">
        <f t="shared" si="21"/>
        <v>0</v>
      </c>
      <c r="J47" s="81"/>
      <c r="K47" s="81"/>
      <c r="L47" s="119">
        <f t="shared" si="22"/>
        <v>0</v>
      </c>
      <c r="M47" s="81"/>
      <c r="N47" s="81"/>
      <c r="O47" s="119">
        <f t="shared" si="23"/>
        <v>0</v>
      </c>
      <c r="P47" s="81"/>
      <c r="Q47" s="81"/>
      <c r="R47" s="119">
        <f t="shared" si="24"/>
        <v>0</v>
      </c>
      <c r="S47" s="128">
        <f t="shared" si="17"/>
        <v>0</v>
      </c>
    </row>
    <row r="48" spans="1:25" ht="13.95" customHeight="1" outlineLevel="2" x14ac:dyDescent="0.3">
      <c r="A48" s="103"/>
      <c r="B48" s="121" t="s">
        <v>211</v>
      </c>
      <c r="C48" s="92">
        <f>+'KV-Gehälter pro PersGrp'!$D$19</f>
        <v>56.792872500000009</v>
      </c>
      <c r="D48" s="81"/>
      <c r="E48" s="81"/>
      <c r="F48" s="119">
        <f t="shared" si="20"/>
        <v>0</v>
      </c>
      <c r="G48" s="81"/>
      <c r="H48" s="81"/>
      <c r="I48" s="119">
        <f t="shared" si="21"/>
        <v>0</v>
      </c>
      <c r="J48" s="81"/>
      <c r="K48" s="81"/>
      <c r="L48" s="119">
        <f t="shared" si="22"/>
        <v>0</v>
      </c>
      <c r="M48" s="81"/>
      <c r="N48" s="81"/>
      <c r="O48" s="119">
        <f t="shared" si="23"/>
        <v>0</v>
      </c>
      <c r="P48" s="81"/>
      <c r="Q48" s="81"/>
      <c r="R48" s="119">
        <f t="shared" si="24"/>
        <v>0</v>
      </c>
      <c r="S48" s="128">
        <f t="shared" si="17"/>
        <v>0</v>
      </c>
    </row>
    <row r="49" spans="1:19" ht="13.95" customHeight="1" outlineLevel="2" x14ac:dyDescent="0.3">
      <c r="A49" s="103"/>
      <c r="B49" s="121" t="s">
        <v>212</v>
      </c>
      <c r="C49" s="92">
        <f>+'KV-Gehälter pro PersGrp'!$D$19</f>
        <v>56.792872500000009</v>
      </c>
      <c r="D49" s="81"/>
      <c r="E49" s="81"/>
      <c r="F49" s="119">
        <f t="shared" si="20"/>
        <v>0</v>
      </c>
      <c r="G49" s="81"/>
      <c r="H49" s="81"/>
      <c r="I49" s="119">
        <f t="shared" si="21"/>
        <v>0</v>
      </c>
      <c r="J49" s="81"/>
      <c r="K49" s="81"/>
      <c r="L49" s="119">
        <f t="shared" si="22"/>
        <v>0</v>
      </c>
      <c r="M49" s="81"/>
      <c r="N49" s="81"/>
      <c r="O49" s="119">
        <f t="shared" si="23"/>
        <v>0</v>
      </c>
      <c r="P49" s="81"/>
      <c r="Q49" s="81"/>
      <c r="R49" s="119">
        <f t="shared" si="24"/>
        <v>0</v>
      </c>
      <c r="S49" s="128">
        <f t="shared" si="17"/>
        <v>0</v>
      </c>
    </row>
    <row r="50" spans="1:19" ht="13.95" customHeight="1" outlineLevel="2" x14ac:dyDescent="0.3">
      <c r="A50" s="103"/>
      <c r="B50" s="121" t="s">
        <v>213</v>
      </c>
      <c r="C50" s="92">
        <f>+'KV-Gehälter pro PersGrp'!$D$19</f>
        <v>56.792872500000009</v>
      </c>
      <c r="D50" s="81"/>
      <c r="E50" s="81"/>
      <c r="F50" s="119">
        <f t="shared" si="20"/>
        <v>0</v>
      </c>
      <c r="G50" s="81"/>
      <c r="H50" s="81"/>
      <c r="I50" s="119">
        <f t="shared" si="21"/>
        <v>0</v>
      </c>
      <c r="J50" s="81"/>
      <c r="K50" s="81"/>
      <c r="L50" s="119">
        <f t="shared" si="22"/>
        <v>0</v>
      </c>
      <c r="M50" s="81"/>
      <c r="N50" s="81"/>
      <c r="O50" s="119">
        <f t="shared" si="23"/>
        <v>0</v>
      </c>
      <c r="P50" s="81"/>
      <c r="Q50" s="81"/>
      <c r="R50" s="119">
        <f t="shared" si="24"/>
        <v>0</v>
      </c>
      <c r="S50" s="128">
        <f t="shared" si="17"/>
        <v>0</v>
      </c>
    </row>
    <row r="51" spans="1:19" ht="13.95" customHeight="1" outlineLevel="2" x14ac:dyDescent="0.3">
      <c r="A51" s="103"/>
      <c r="B51" s="121" t="s">
        <v>214</v>
      </c>
      <c r="C51" s="92">
        <f>+'KV-Gehälter pro PersGrp'!$D$19</f>
        <v>56.792872500000009</v>
      </c>
      <c r="D51" s="81"/>
      <c r="E51" s="81"/>
      <c r="F51" s="119">
        <f t="shared" si="20"/>
        <v>0</v>
      </c>
      <c r="G51" s="81"/>
      <c r="H51" s="81"/>
      <c r="I51" s="119">
        <f t="shared" si="21"/>
        <v>0</v>
      </c>
      <c r="J51" s="81"/>
      <c r="K51" s="81"/>
      <c r="L51" s="119">
        <f t="shared" si="22"/>
        <v>0</v>
      </c>
      <c r="M51" s="81"/>
      <c r="N51" s="81"/>
      <c r="O51" s="119">
        <f t="shared" si="23"/>
        <v>0</v>
      </c>
      <c r="P51" s="81"/>
      <c r="Q51" s="81"/>
      <c r="R51" s="119">
        <f t="shared" si="24"/>
        <v>0</v>
      </c>
      <c r="S51" s="128">
        <f t="shared" si="17"/>
        <v>0</v>
      </c>
    </row>
    <row r="52" spans="1:19" ht="13.95" customHeight="1" outlineLevel="2" x14ac:dyDescent="0.3">
      <c r="A52" s="103"/>
      <c r="B52" s="121" t="s">
        <v>215</v>
      </c>
      <c r="C52" s="92">
        <f>+'KV-Gehälter pro PersGrp'!$D$19</f>
        <v>56.792872500000009</v>
      </c>
      <c r="D52" s="81"/>
      <c r="E52" s="81"/>
      <c r="F52" s="119">
        <f t="shared" si="20"/>
        <v>0</v>
      </c>
      <c r="G52" s="81"/>
      <c r="H52" s="81"/>
      <c r="I52" s="119">
        <f t="shared" si="21"/>
        <v>0</v>
      </c>
      <c r="J52" s="81"/>
      <c r="K52" s="81"/>
      <c r="L52" s="119">
        <f t="shared" si="22"/>
        <v>0</v>
      </c>
      <c r="M52" s="81"/>
      <c r="N52" s="81"/>
      <c r="O52" s="119">
        <f t="shared" si="23"/>
        <v>0</v>
      </c>
      <c r="P52" s="81"/>
      <c r="Q52" s="81"/>
      <c r="R52" s="119">
        <f t="shared" si="24"/>
        <v>0</v>
      </c>
      <c r="S52" s="128">
        <f t="shared" si="17"/>
        <v>0</v>
      </c>
    </row>
    <row r="53" spans="1:19" ht="13.95" customHeight="1" outlineLevel="2" x14ac:dyDescent="0.3">
      <c r="A53" s="103"/>
      <c r="B53" s="121" t="s">
        <v>216</v>
      </c>
      <c r="C53" s="92">
        <f>+'KV-Gehälter pro PersGrp'!$D$19</f>
        <v>56.792872500000009</v>
      </c>
      <c r="D53" s="81"/>
      <c r="E53" s="81"/>
      <c r="F53" s="119">
        <f t="shared" si="20"/>
        <v>0</v>
      </c>
      <c r="G53" s="81"/>
      <c r="H53" s="81"/>
      <c r="I53" s="119">
        <f t="shared" si="21"/>
        <v>0</v>
      </c>
      <c r="J53" s="81"/>
      <c r="K53" s="81"/>
      <c r="L53" s="119">
        <f t="shared" si="22"/>
        <v>0</v>
      </c>
      <c r="M53" s="81"/>
      <c r="N53" s="81"/>
      <c r="O53" s="119">
        <f t="shared" si="23"/>
        <v>0</v>
      </c>
      <c r="P53" s="81"/>
      <c r="Q53" s="81"/>
      <c r="R53" s="119">
        <f t="shared" si="24"/>
        <v>0</v>
      </c>
      <c r="S53" s="128">
        <f t="shared" si="17"/>
        <v>0</v>
      </c>
    </row>
    <row r="54" spans="1:19" ht="13.95" customHeight="1" outlineLevel="2" x14ac:dyDescent="0.3">
      <c r="A54" s="103"/>
      <c r="B54" s="121" t="s">
        <v>217</v>
      </c>
      <c r="C54" s="92">
        <f>+'KV-Gehälter pro PersGrp'!$D$19</f>
        <v>56.792872500000009</v>
      </c>
      <c r="D54" s="81"/>
      <c r="E54" s="81"/>
      <c r="F54" s="119">
        <f t="shared" si="20"/>
        <v>0</v>
      </c>
      <c r="G54" s="81"/>
      <c r="H54" s="81"/>
      <c r="I54" s="119">
        <f t="shared" si="21"/>
        <v>0</v>
      </c>
      <c r="J54" s="81"/>
      <c r="K54" s="81"/>
      <c r="L54" s="119">
        <f t="shared" si="22"/>
        <v>0</v>
      </c>
      <c r="M54" s="81"/>
      <c r="N54" s="81"/>
      <c r="O54" s="119">
        <f t="shared" si="23"/>
        <v>0</v>
      </c>
      <c r="P54" s="81"/>
      <c r="Q54" s="81"/>
      <c r="R54" s="119">
        <f t="shared" si="24"/>
        <v>0</v>
      </c>
      <c r="S54" s="128">
        <f t="shared" si="17"/>
        <v>0</v>
      </c>
    </row>
    <row r="55" spans="1:19" ht="13.95" customHeight="1" outlineLevel="2" x14ac:dyDescent="0.3">
      <c r="A55" s="103"/>
      <c r="B55" s="121" t="s">
        <v>218</v>
      </c>
      <c r="C55" s="92">
        <f>+'KV-Gehälter pro PersGrp'!$D$19</f>
        <v>56.792872500000009</v>
      </c>
      <c r="D55" s="81"/>
      <c r="E55" s="81"/>
      <c r="F55" s="119">
        <f t="shared" si="20"/>
        <v>0</v>
      </c>
      <c r="G55" s="81"/>
      <c r="H55" s="81"/>
      <c r="I55" s="119">
        <f t="shared" si="21"/>
        <v>0</v>
      </c>
      <c r="J55" s="81"/>
      <c r="K55" s="81"/>
      <c r="L55" s="119">
        <f t="shared" si="22"/>
        <v>0</v>
      </c>
      <c r="M55" s="81"/>
      <c r="N55" s="81"/>
      <c r="O55" s="119">
        <f t="shared" si="23"/>
        <v>0</v>
      </c>
      <c r="P55" s="81"/>
      <c r="Q55" s="81"/>
      <c r="R55" s="119">
        <f t="shared" si="24"/>
        <v>0</v>
      </c>
      <c r="S55" s="128">
        <f t="shared" si="17"/>
        <v>0</v>
      </c>
    </row>
    <row r="56" spans="1:19" ht="13.95" customHeight="1" outlineLevel="1" x14ac:dyDescent="0.3">
      <c r="A56" s="103">
        <v>664710</v>
      </c>
      <c r="B56" s="121" t="s">
        <v>178</v>
      </c>
      <c r="C56" s="92">
        <f>+'KV-Gehälter pro PersGrp'!$D$20</f>
        <v>67.47999999999999</v>
      </c>
      <c r="D56" s="54"/>
      <c r="E56" s="54"/>
      <c r="F56" s="119">
        <f>SUM(F57:F86)</f>
        <v>0</v>
      </c>
      <c r="G56" s="54"/>
      <c r="H56" s="54"/>
      <c r="I56" s="119">
        <f>SUM(I57:I86)</f>
        <v>0</v>
      </c>
      <c r="J56" s="54"/>
      <c r="K56" s="54"/>
      <c r="L56" s="119">
        <f>SUM(L57:L86)</f>
        <v>0</v>
      </c>
      <c r="M56" s="54"/>
      <c r="N56" s="54"/>
      <c r="O56" s="119">
        <f>SUM(O57:O86)</f>
        <v>0</v>
      </c>
      <c r="P56" s="54"/>
      <c r="Q56" s="54"/>
      <c r="R56" s="119">
        <f>SUM(R57:R86)</f>
        <v>0</v>
      </c>
      <c r="S56" s="128">
        <f t="shared" si="17"/>
        <v>0</v>
      </c>
    </row>
    <row r="57" spans="1:19" ht="13.95" hidden="1" customHeight="1" outlineLevel="2" x14ac:dyDescent="0.3">
      <c r="A57" s="103"/>
      <c r="B57" s="121" t="s">
        <v>168</v>
      </c>
      <c r="C57" s="92">
        <f>+'KV-Gehälter pro PersGrp'!$D$20</f>
        <v>67.47999999999999</v>
      </c>
      <c r="D57" s="81"/>
      <c r="E57" s="81"/>
      <c r="F57" s="119">
        <f t="shared" ref="F57:F86" si="25">ROUND(C57*D57*E57/12*14,2)</f>
        <v>0</v>
      </c>
      <c r="G57" s="81"/>
      <c r="H57" s="81"/>
      <c r="I57" s="119">
        <f t="shared" ref="I57:I71" si="26">ROUND((C57*G57*H57/12*14)*$G$132,2)</f>
        <v>0</v>
      </c>
      <c r="J57" s="81"/>
      <c r="K57" s="81"/>
      <c r="L57" s="119">
        <f t="shared" ref="L57:L71" si="27">ROUND((C57*J57*K57/12*14)*$G$132*$G$133,2)</f>
        <v>0</v>
      </c>
      <c r="M57" s="81"/>
      <c r="N57" s="81"/>
      <c r="O57" s="119">
        <f t="shared" ref="O57:O71" si="28">ROUND((C57*M57*N57/12*14)*$G$132*$G$133*$G$134,2)</f>
        <v>0</v>
      </c>
      <c r="P57" s="81"/>
      <c r="Q57" s="81"/>
      <c r="R57" s="119">
        <f t="shared" ref="R57:R71" si="29">ROUND((C57*P57*Q57/12*14)*$G$132*$G$133*$G$134*$G$135,2)</f>
        <v>0</v>
      </c>
      <c r="S57" s="128">
        <f t="shared" si="17"/>
        <v>0</v>
      </c>
    </row>
    <row r="58" spans="1:19" ht="13.95" hidden="1" customHeight="1" outlineLevel="2" x14ac:dyDescent="0.3">
      <c r="A58" s="103"/>
      <c r="B58" s="121" t="s">
        <v>169</v>
      </c>
      <c r="C58" s="92">
        <f>+'KV-Gehälter pro PersGrp'!$D$20</f>
        <v>67.47999999999999</v>
      </c>
      <c r="D58" s="81"/>
      <c r="E58" s="81"/>
      <c r="F58" s="119">
        <f t="shared" si="25"/>
        <v>0</v>
      </c>
      <c r="G58" s="81"/>
      <c r="H58" s="81"/>
      <c r="I58" s="119">
        <f t="shared" si="26"/>
        <v>0</v>
      </c>
      <c r="J58" s="81"/>
      <c r="K58" s="81"/>
      <c r="L58" s="119">
        <f t="shared" si="27"/>
        <v>0</v>
      </c>
      <c r="M58" s="81"/>
      <c r="N58" s="81"/>
      <c r="O58" s="119">
        <f t="shared" si="28"/>
        <v>0</v>
      </c>
      <c r="P58" s="81"/>
      <c r="Q58" s="81"/>
      <c r="R58" s="119">
        <f t="shared" si="29"/>
        <v>0</v>
      </c>
      <c r="S58" s="128">
        <f t="shared" si="17"/>
        <v>0</v>
      </c>
    </row>
    <row r="59" spans="1:19" ht="13.95" hidden="1" customHeight="1" outlineLevel="2" x14ac:dyDescent="0.3">
      <c r="A59" s="103"/>
      <c r="B59" s="121" t="s">
        <v>170</v>
      </c>
      <c r="C59" s="92">
        <f>+'KV-Gehälter pro PersGrp'!$D$20</f>
        <v>67.47999999999999</v>
      </c>
      <c r="D59" s="81"/>
      <c r="E59" s="81"/>
      <c r="F59" s="119">
        <f t="shared" si="25"/>
        <v>0</v>
      </c>
      <c r="G59" s="81"/>
      <c r="H59" s="81"/>
      <c r="I59" s="119">
        <f t="shared" si="26"/>
        <v>0</v>
      </c>
      <c r="J59" s="81"/>
      <c r="K59" s="81"/>
      <c r="L59" s="119">
        <f t="shared" si="27"/>
        <v>0</v>
      </c>
      <c r="M59" s="81"/>
      <c r="N59" s="81"/>
      <c r="O59" s="119">
        <f t="shared" si="28"/>
        <v>0</v>
      </c>
      <c r="P59" s="81"/>
      <c r="Q59" s="81"/>
      <c r="R59" s="119">
        <f t="shared" si="29"/>
        <v>0</v>
      </c>
      <c r="S59" s="128">
        <f t="shared" si="17"/>
        <v>0</v>
      </c>
    </row>
    <row r="60" spans="1:19" ht="13.95" hidden="1" customHeight="1" outlineLevel="2" x14ac:dyDescent="0.3">
      <c r="A60" s="103"/>
      <c r="B60" s="121" t="s">
        <v>171</v>
      </c>
      <c r="C60" s="92">
        <f>+'KV-Gehälter pro PersGrp'!$D$20</f>
        <v>67.47999999999999</v>
      </c>
      <c r="D60" s="81"/>
      <c r="E60" s="81"/>
      <c r="F60" s="119">
        <f t="shared" si="25"/>
        <v>0</v>
      </c>
      <c r="G60" s="81"/>
      <c r="H60" s="81"/>
      <c r="I60" s="119">
        <f t="shared" si="26"/>
        <v>0</v>
      </c>
      <c r="J60" s="81"/>
      <c r="K60" s="81"/>
      <c r="L60" s="119">
        <f t="shared" si="27"/>
        <v>0</v>
      </c>
      <c r="M60" s="81"/>
      <c r="N60" s="81"/>
      <c r="O60" s="119">
        <f t="shared" si="28"/>
        <v>0</v>
      </c>
      <c r="P60" s="81"/>
      <c r="Q60" s="81"/>
      <c r="R60" s="119">
        <f t="shared" si="29"/>
        <v>0</v>
      </c>
      <c r="S60" s="128">
        <f t="shared" si="17"/>
        <v>0</v>
      </c>
    </row>
    <row r="61" spans="1:19" ht="13.95" hidden="1" customHeight="1" outlineLevel="2" x14ac:dyDescent="0.3">
      <c r="A61" s="103"/>
      <c r="B61" s="121" t="s">
        <v>172</v>
      </c>
      <c r="C61" s="92">
        <f>+'KV-Gehälter pro PersGrp'!$D$20</f>
        <v>67.47999999999999</v>
      </c>
      <c r="D61" s="81"/>
      <c r="E61" s="81"/>
      <c r="F61" s="119">
        <f t="shared" si="25"/>
        <v>0</v>
      </c>
      <c r="G61" s="81"/>
      <c r="H61" s="81"/>
      <c r="I61" s="119">
        <f t="shared" si="26"/>
        <v>0</v>
      </c>
      <c r="J61" s="81"/>
      <c r="K61" s="81"/>
      <c r="L61" s="119">
        <f t="shared" si="27"/>
        <v>0</v>
      </c>
      <c r="M61" s="81"/>
      <c r="N61" s="81"/>
      <c r="O61" s="119">
        <f t="shared" si="28"/>
        <v>0</v>
      </c>
      <c r="P61" s="81"/>
      <c r="Q61" s="81"/>
      <c r="R61" s="119">
        <f t="shared" si="29"/>
        <v>0</v>
      </c>
      <c r="S61" s="128">
        <f t="shared" si="17"/>
        <v>0</v>
      </c>
    </row>
    <row r="62" spans="1:19" ht="13.95" hidden="1" customHeight="1" outlineLevel="2" x14ac:dyDescent="0.3">
      <c r="A62" s="103"/>
      <c r="B62" s="121" t="s">
        <v>173</v>
      </c>
      <c r="C62" s="92">
        <f>+'KV-Gehälter pro PersGrp'!$D$20</f>
        <v>67.47999999999999</v>
      </c>
      <c r="D62" s="81"/>
      <c r="E62" s="81"/>
      <c r="F62" s="119">
        <f t="shared" si="25"/>
        <v>0</v>
      </c>
      <c r="G62" s="81"/>
      <c r="H62" s="81"/>
      <c r="I62" s="119">
        <f t="shared" si="26"/>
        <v>0</v>
      </c>
      <c r="J62" s="81"/>
      <c r="K62" s="81"/>
      <c r="L62" s="119">
        <f t="shared" si="27"/>
        <v>0</v>
      </c>
      <c r="M62" s="81"/>
      <c r="N62" s="81"/>
      <c r="O62" s="119">
        <f t="shared" si="28"/>
        <v>0</v>
      </c>
      <c r="P62" s="81"/>
      <c r="Q62" s="81"/>
      <c r="R62" s="119">
        <f t="shared" si="29"/>
        <v>0</v>
      </c>
      <c r="S62" s="128">
        <f t="shared" si="17"/>
        <v>0</v>
      </c>
    </row>
    <row r="63" spans="1:19" ht="13.95" hidden="1" customHeight="1" outlineLevel="2" x14ac:dyDescent="0.3">
      <c r="A63" s="103"/>
      <c r="B63" s="121" t="s">
        <v>174</v>
      </c>
      <c r="C63" s="92">
        <f>+'KV-Gehälter pro PersGrp'!$D$20</f>
        <v>67.47999999999999</v>
      </c>
      <c r="D63" s="81"/>
      <c r="E63" s="81"/>
      <c r="F63" s="119">
        <f t="shared" si="25"/>
        <v>0</v>
      </c>
      <c r="G63" s="81"/>
      <c r="H63" s="81"/>
      <c r="I63" s="119">
        <f t="shared" si="26"/>
        <v>0</v>
      </c>
      <c r="J63" s="81"/>
      <c r="K63" s="81"/>
      <c r="L63" s="119">
        <f t="shared" si="27"/>
        <v>0</v>
      </c>
      <c r="M63" s="81"/>
      <c r="N63" s="81"/>
      <c r="O63" s="119">
        <f t="shared" si="28"/>
        <v>0</v>
      </c>
      <c r="P63" s="81"/>
      <c r="Q63" s="81"/>
      <c r="R63" s="119">
        <f t="shared" si="29"/>
        <v>0</v>
      </c>
      <c r="S63" s="128">
        <f t="shared" si="17"/>
        <v>0</v>
      </c>
    </row>
    <row r="64" spans="1:19" ht="13.95" hidden="1" customHeight="1" outlineLevel="2" x14ac:dyDescent="0.3">
      <c r="A64" s="103"/>
      <c r="B64" s="121" t="s">
        <v>175</v>
      </c>
      <c r="C64" s="92">
        <f>+'KV-Gehälter pro PersGrp'!$D$20</f>
        <v>67.47999999999999</v>
      </c>
      <c r="D64" s="81"/>
      <c r="E64" s="81"/>
      <c r="F64" s="119">
        <f t="shared" si="25"/>
        <v>0</v>
      </c>
      <c r="G64" s="81"/>
      <c r="H64" s="81"/>
      <c r="I64" s="119">
        <f t="shared" si="26"/>
        <v>0</v>
      </c>
      <c r="J64" s="81"/>
      <c r="K64" s="81"/>
      <c r="L64" s="119">
        <f t="shared" si="27"/>
        <v>0</v>
      </c>
      <c r="M64" s="81"/>
      <c r="N64" s="81"/>
      <c r="O64" s="119">
        <f t="shared" si="28"/>
        <v>0</v>
      </c>
      <c r="P64" s="81"/>
      <c r="Q64" s="81"/>
      <c r="R64" s="119">
        <f t="shared" si="29"/>
        <v>0</v>
      </c>
      <c r="S64" s="128">
        <f t="shared" si="17"/>
        <v>0</v>
      </c>
    </row>
    <row r="65" spans="1:19" ht="13.95" hidden="1" customHeight="1" outlineLevel="2" x14ac:dyDescent="0.3">
      <c r="A65" s="103"/>
      <c r="B65" s="121" t="s">
        <v>176</v>
      </c>
      <c r="C65" s="92">
        <f>+'KV-Gehälter pro PersGrp'!$D$20</f>
        <v>67.47999999999999</v>
      </c>
      <c r="D65" s="81"/>
      <c r="E65" s="81"/>
      <c r="F65" s="119">
        <f t="shared" si="25"/>
        <v>0</v>
      </c>
      <c r="G65" s="81"/>
      <c r="H65" s="81"/>
      <c r="I65" s="119">
        <f t="shared" si="26"/>
        <v>0</v>
      </c>
      <c r="J65" s="81"/>
      <c r="K65" s="81"/>
      <c r="L65" s="119">
        <f t="shared" si="27"/>
        <v>0</v>
      </c>
      <c r="M65" s="81"/>
      <c r="N65" s="81"/>
      <c r="O65" s="119">
        <f t="shared" si="28"/>
        <v>0</v>
      </c>
      <c r="P65" s="81"/>
      <c r="Q65" s="81"/>
      <c r="R65" s="119">
        <f t="shared" si="29"/>
        <v>0</v>
      </c>
      <c r="S65" s="128">
        <f t="shared" si="17"/>
        <v>0</v>
      </c>
    </row>
    <row r="66" spans="1:19" ht="13.95" hidden="1" customHeight="1" outlineLevel="2" x14ac:dyDescent="0.3">
      <c r="A66" s="103"/>
      <c r="B66" s="121" t="s">
        <v>177</v>
      </c>
      <c r="C66" s="92">
        <f>+'KV-Gehälter pro PersGrp'!$D$20</f>
        <v>67.47999999999999</v>
      </c>
      <c r="D66" s="81"/>
      <c r="E66" s="81"/>
      <c r="F66" s="119">
        <f t="shared" si="25"/>
        <v>0</v>
      </c>
      <c r="G66" s="81"/>
      <c r="H66" s="81"/>
      <c r="I66" s="119">
        <f t="shared" si="26"/>
        <v>0</v>
      </c>
      <c r="J66" s="81"/>
      <c r="K66" s="81"/>
      <c r="L66" s="119">
        <f t="shared" si="27"/>
        <v>0</v>
      </c>
      <c r="M66" s="81"/>
      <c r="N66" s="81"/>
      <c r="O66" s="119">
        <f t="shared" si="28"/>
        <v>0</v>
      </c>
      <c r="P66" s="81"/>
      <c r="Q66" s="81"/>
      <c r="R66" s="119">
        <f t="shared" si="29"/>
        <v>0</v>
      </c>
      <c r="S66" s="128">
        <f t="shared" si="17"/>
        <v>0</v>
      </c>
    </row>
    <row r="67" spans="1:19" ht="13.95" hidden="1" customHeight="1" outlineLevel="2" x14ac:dyDescent="0.3">
      <c r="A67" s="103"/>
      <c r="B67" s="121" t="s">
        <v>186</v>
      </c>
      <c r="C67" s="92">
        <f>+'KV-Gehälter pro PersGrp'!$D$20</f>
        <v>67.47999999999999</v>
      </c>
      <c r="D67" s="81"/>
      <c r="E67" s="81"/>
      <c r="F67" s="119">
        <f t="shared" si="25"/>
        <v>0</v>
      </c>
      <c r="G67" s="81"/>
      <c r="H67" s="81"/>
      <c r="I67" s="119">
        <f t="shared" si="26"/>
        <v>0</v>
      </c>
      <c r="J67" s="81"/>
      <c r="K67" s="81"/>
      <c r="L67" s="119">
        <f t="shared" si="27"/>
        <v>0</v>
      </c>
      <c r="M67" s="81"/>
      <c r="N67" s="81"/>
      <c r="O67" s="119">
        <f t="shared" si="28"/>
        <v>0</v>
      </c>
      <c r="P67" s="81"/>
      <c r="Q67" s="81"/>
      <c r="R67" s="119">
        <f t="shared" si="29"/>
        <v>0</v>
      </c>
      <c r="S67" s="128">
        <f t="shared" si="17"/>
        <v>0</v>
      </c>
    </row>
    <row r="68" spans="1:19" ht="13.95" hidden="1" customHeight="1" outlineLevel="2" x14ac:dyDescent="0.3">
      <c r="A68" s="103"/>
      <c r="B68" s="121" t="s">
        <v>187</v>
      </c>
      <c r="C68" s="92">
        <f>+'KV-Gehälter pro PersGrp'!$D$20</f>
        <v>67.47999999999999</v>
      </c>
      <c r="D68" s="81"/>
      <c r="E68" s="81"/>
      <c r="F68" s="119">
        <f t="shared" si="25"/>
        <v>0</v>
      </c>
      <c r="G68" s="81"/>
      <c r="H68" s="81"/>
      <c r="I68" s="119">
        <f t="shared" si="26"/>
        <v>0</v>
      </c>
      <c r="J68" s="81"/>
      <c r="K68" s="81"/>
      <c r="L68" s="119">
        <f t="shared" si="27"/>
        <v>0</v>
      </c>
      <c r="M68" s="81"/>
      <c r="N68" s="81"/>
      <c r="O68" s="119">
        <f t="shared" si="28"/>
        <v>0</v>
      </c>
      <c r="P68" s="81"/>
      <c r="Q68" s="81"/>
      <c r="R68" s="119">
        <f t="shared" si="29"/>
        <v>0</v>
      </c>
      <c r="S68" s="128">
        <f t="shared" si="17"/>
        <v>0</v>
      </c>
    </row>
    <row r="69" spans="1:19" ht="13.95" hidden="1" customHeight="1" outlineLevel="2" x14ac:dyDescent="0.3">
      <c r="A69" s="103"/>
      <c r="B69" s="121" t="s">
        <v>188</v>
      </c>
      <c r="C69" s="92">
        <f>+'KV-Gehälter pro PersGrp'!$D$20</f>
        <v>67.47999999999999</v>
      </c>
      <c r="D69" s="81"/>
      <c r="E69" s="81"/>
      <c r="F69" s="119">
        <f t="shared" si="25"/>
        <v>0</v>
      </c>
      <c r="G69" s="81"/>
      <c r="H69" s="81"/>
      <c r="I69" s="119">
        <f t="shared" si="26"/>
        <v>0</v>
      </c>
      <c r="J69" s="81"/>
      <c r="K69" s="81"/>
      <c r="L69" s="119">
        <f t="shared" si="27"/>
        <v>0</v>
      </c>
      <c r="M69" s="81"/>
      <c r="N69" s="81"/>
      <c r="O69" s="119">
        <f t="shared" si="28"/>
        <v>0</v>
      </c>
      <c r="P69" s="81"/>
      <c r="Q69" s="81"/>
      <c r="R69" s="119">
        <f t="shared" si="29"/>
        <v>0</v>
      </c>
      <c r="S69" s="128">
        <f t="shared" si="17"/>
        <v>0</v>
      </c>
    </row>
    <row r="70" spans="1:19" ht="13.95" hidden="1" customHeight="1" outlineLevel="2" x14ac:dyDescent="0.3">
      <c r="A70" s="103"/>
      <c r="B70" s="121" t="s">
        <v>189</v>
      </c>
      <c r="C70" s="92">
        <f>+'KV-Gehälter pro PersGrp'!$D$20</f>
        <v>67.47999999999999</v>
      </c>
      <c r="D70" s="81"/>
      <c r="E70" s="81"/>
      <c r="F70" s="119">
        <f t="shared" si="25"/>
        <v>0</v>
      </c>
      <c r="G70" s="81"/>
      <c r="H70" s="81"/>
      <c r="I70" s="119">
        <f t="shared" si="26"/>
        <v>0</v>
      </c>
      <c r="J70" s="81"/>
      <c r="K70" s="81"/>
      <c r="L70" s="119">
        <f t="shared" si="27"/>
        <v>0</v>
      </c>
      <c r="M70" s="81"/>
      <c r="N70" s="81"/>
      <c r="O70" s="119">
        <f t="shared" si="28"/>
        <v>0</v>
      </c>
      <c r="P70" s="81"/>
      <c r="Q70" s="81"/>
      <c r="R70" s="119">
        <f t="shared" si="29"/>
        <v>0</v>
      </c>
      <c r="S70" s="128">
        <f t="shared" si="17"/>
        <v>0</v>
      </c>
    </row>
    <row r="71" spans="1:19" ht="13.95" hidden="1" customHeight="1" outlineLevel="2" x14ac:dyDescent="0.3">
      <c r="A71" s="103"/>
      <c r="B71" s="121" t="s">
        <v>190</v>
      </c>
      <c r="C71" s="92">
        <f>+'KV-Gehälter pro PersGrp'!$D$20</f>
        <v>67.47999999999999</v>
      </c>
      <c r="D71" s="81"/>
      <c r="E71" s="81"/>
      <c r="F71" s="119">
        <f t="shared" si="25"/>
        <v>0</v>
      </c>
      <c r="G71" s="81"/>
      <c r="H71" s="81"/>
      <c r="I71" s="119">
        <f t="shared" si="26"/>
        <v>0</v>
      </c>
      <c r="J71" s="81"/>
      <c r="K71" s="81"/>
      <c r="L71" s="119">
        <f t="shared" si="27"/>
        <v>0</v>
      </c>
      <c r="M71" s="81"/>
      <c r="N71" s="81"/>
      <c r="O71" s="119">
        <f t="shared" si="28"/>
        <v>0</v>
      </c>
      <c r="P71" s="81"/>
      <c r="Q71" s="81"/>
      <c r="R71" s="119">
        <f t="shared" si="29"/>
        <v>0</v>
      </c>
      <c r="S71" s="128">
        <f t="shared" si="17"/>
        <v>0</v>
      </c>
    </row>
    <row r="72" spans="1:19" ht="13.95" hidden="1" customHeight="1" outlineLevel="2" x14ac:dyDescent="0.3">
      <c r="A72" s="103"/>
      <c r="B72" s="121" t="s">
        <v>191</v>
      </c>
      <c r="C72" s="92">
        <f>+'KV-Gehälter pro PersGrp'!$D$20</f>
        <v>67.47999999999999</v>
      </c>
      <c r="D72" s="81"/>
      <c r="E72" s="81"/>
      <c r="F72" s="119">
        <f t="shared" si="25"/>
        <v>0</v>
      </c>
      <c r="G72" s="81"/>
      <c r="H72" s="81"/>
      <c r="I72" s="119">
        <f t="shared" ref="I72:I86" si="30">ROUND((C72*G72*H72/12*14)*$G$132,2)</f>
        <v>0</v>
      </c>
      <c r="J72" s="81"/>
      <c r="K72" s="81"/>
      <c r="L72" s="119">
        <f t="shared" ref="L72:L86" si="31">ROUND((C72*J72*K72/12*14)*$G$132*$G$133,2)</f>
        <v>0</v>
      </c>
      <c r="M72" s="81"/>
      <c r="N72" s="81"/>
      <c r="O72" s="119">
        <f t="shared" ref="O72:O86" si="32">ROUND((C72*M72*N72/12*14)*$G$132*$G$133*$G$134,2)</f>
        <v>0</v>
      </c>
      <c r="P72" s="81"/>
      <c r="Q72" s="81"/>
      <c r="R72" s="119">
        <f t="shared" ref="R72:R86" si="33">ROUND((C72*P72*Q72/12*14)*$G$132*$G$133*$G$134*$G$135,2)</f>
        <v>0</v>
      </c>
      <c r="S72" s="128">
        <f t="shared" si="17"/>
        <v>0</v>
      </c>
    </row>
    <row r="73" spans="1:19" ht="13.95" hidden="1" customHeight="1" outlineLevel="2" x14ac:dyDescent="0.3">
      <c r="A73" s="103"/>
      <c r="B73" s="121" t="s">
        <v>192</v>
      </c>
      <c r="C73" s="92">
        <f>+'KV-Gehälter pro PersGrp'!$D$20</f>
        <v>67.47999999999999</v>
      </c>
      <c r="D73" s="81"/>
      <c r="E73" s="81"/>
      <c r="F73" s="119">
        <f t="shared" si="25"/>
        <v>0</v>
      </c>
      <c r="G73" s="81"/>
      <c r="H73" s="81"/>
      <c r="I73" s="119">
        <f t="shared" si="30"/>
        <v>0</v>
      </c>
      <c r="J73" s="81"/>
      <c r="K73" s="81"/>
      <c r="L73" s="119">
        <f t="shared" si="31"/>
        <v>0</v>
      </c>
      <c r="M73" s="81"/>
      <c r="N73" s="81"/>
      <c r="O73" s="119">
        <f t="shared" si="32"/>
        <v>0</v>
      </c>
      <c r="P73" s="81"/>
      <c r="Q73" s="81"/>
      <c r="R73" s="119">
        <f t="shared" si="33"/>
        <v>0</v>
      </c>
      <c r="S73" s="128">
        <f t="shared" si="17"/>
        <v>0</v>
      </c>
    </row>
    <row r="74" spans="1:19" ht="13.95" hidden="1" customHeight="1" outlineLevel="2" x14ac:dyDescent="0.3">
      <c r="A74" s="103"/>
      <c r="B74" s="121" t="s">
        <v>193</v>
      </c>
      <c r="C74" s="92">
        <f>+'KV-Gehälter pro PersGrp'!$D$20</f>
        <v>67.47999999999999</v>
      </c>
      <c r="D74" s="81"/>
      <c r="E74" s="81"/>
      <c r="F74" s="119">
        <f t="shared" si="25"/>
        <v>0</v>
      </c>
      <c r="G74" s="81"/>
      <c r="H74" s="81"/>
      <c r="I74" s="119">
        <f t="shared" si="30"/>
        <v>0</v>
      </c>
      <c r="J74" s="81"/>
      <c r="K74" s="81"/>
      <c r="L74" s="119">
        <f t="shared" si="31"/>
        <v>0</v>
      </c>
      <c r="M74" s="81"/>
      <c r="N74" s="81"/>
      <c r="O74" s="119">
        <f t="shared" si="32"/>
        <v>0</v>
      </c>
      <c r="P74" s="81"/>
      <c r="Q74" s="81"/>
      <c r="R74" s="119">
        <f t="shared" si="33"/>
        <v>0</v>
      </c>
      <c r="S74" s="128">
        <f t="shared" si="17"/>
        <v>0</v>
      </c>
    </row>
    <row r="75" spans="1:19" ht="13.95" hidden="1" customHeight="1" outlineLevel="2" x14ac:dyDescent="0.3">
      <c r="A75" s="103"/>
      <c r="B75" s="121" t="s">
        <v>194</v>
      </c>
      <c r="C75" s="92">
        <f>+'KV-Gehälter pro PersGrp'!$D$20</f>
        <v>67.47999999999999</v>
      </c>
      <c r="D75" s="81"/>
      <c r="E75" s="81"/>
      <c r="F75" s="119">
        <f t="shared" si="25"/>
        <v>0</v>
      </c>
      <c r="G75" s="81"/>
      <c r="H75" s="81"/>
      <c r="I75" s="119">
        <f t="shared" si="30"/>
        <v>0</v>
      </c>
      <c r="J75" s="81"/>
      <c r="K75" s="81"/>
      <c r="L75" s="119">
        <f t="shared" si="31"/>
        <v>0</v>
      </c>
      <c r="M75" s="81"/>
      <c r="N75" s="81"/>
      <c r="O75" s="119">
        <f t="shared" si="32"/>
        <v>0</v>
      </c>
      <c r="P75" s="81"/>
      <c r="Q75" s="81"/>
      <c r="R75" s="119">
        <f t="shared" si="33"/>
        <v>0</v>
      </c>
      <c r="S75" s="128">
        <f t="shared" si="17"/>
        <v>0</v>
      </c>
    </row>
    <row r="76" spans="1:19" ht="13.95" hidden="1" customHeight="1" outlineLevel="2" x14ac:dyDescent="0.3">
      <c r="A76" s="103"/>
      <c r="B76" s="121" t="s">
        <v>195</v>
      </c>
      <c r="C76" s="92">
        <f>+'KV-Gehälter pro PersGrp'!$D$20</f>
        <v>67.47999999999999</v>
      </c>
      <c r="D76" s="81"/>
      <c r="E76" s="81"/>
      <c r="F76" s="119">
        <f t="shared" si="25"/>
        <v>0</v>
      </c>
      <c r="G76" s="81"/>
      <c r="H76" s="81"/>
      <c r="I76" s="119">
        <f t="shared" si="30"/>
        <v>0</v>
      </c>
      <c r="J76" s="81"/>
      <c r="K76" s="81"/>
      <c r="L76" s="119">
        <f t="shared" si="31"/>
        <v>0</v>
      </c>
      <c r="M76" s="81"/>
      <c r="N76" s="81"/>
      <c r="O76" s="119">
        <f t="shared" si="32"/>
        <v>0</v>
      </c>
      <c r="P76" s="81"/>
      <c r="Q76" s="81"/>
      <c r="R76" s="119">
        <f t="shared" si="33"/>
        <v>0</v>
      </c>
      <c r="S76" s="128">
        <f t="shared" si="17"/>
        <v>0</v>
      </c>
    </row>
    <row r="77" spans="1:19" ht="13.95" hidden="1" customHeight="1" outlineLevel="2" x14ac:dyDescent="0.3">
      <c r="A77" s="103"/>
      <c r="B77" s="121" t="s">
        <v>196</v>
      </c>
      <c r="C77" s="92">
        <f>+'KV-Gehälter pro PersGrp'!$D$20</f>
        <v>67.47999999999999</v>
      </c>
      <c r="D77" s="81"/>
      <c r="E77" s="81"/>
      <c r="F77" s="119">
        <f t="shared" si="25"/>
        <v>0</v>
      </c>
      <c r="G77" s="81"/>
      <c r="H77" s="81"/>
      <c r="I77" s="119">
        <f t="shared" si="30"/>
        <v>0</v>
      </c>
      <c r="J77" s="81"/>
      <c r="K77" s="81"/>
      <c r="L77" s="119">
        <f t="shared" si="31"/>
        <v>0</v>
      </c>
      <c r="M77" s="81"/>
      <c r="N77" s="81"/>
      <c r="O77" s="119">
        <f t="shared" si="32"/>
        <v>0</v>
      </c>
      <c r="P77" s="81"/>
      <c r="Q77" s="81"/>
      <c r="R77" s="119">
        <f t="shared" si="33"/>
        <v>0</v>
      </c>
      <c r="S77" s="128">
        <f t="shared" si="17"/>
        <v>0</v>
      </c>
    </row>
    <row r="78" spans="1:19" ht="13.95" hidden="1" customHeight="1" outlineLevel="2" x14ac:dyDescent="0.3">
      <c r="A78" s="103"/>
      <c r="B78" s="121" t="s">
        <v>197</v>
      </c>
      <c r="C78" s="92">
        <f>+'KV-Gehälter pro PersGrp'!$D$20</f>
        <v>67.47999999999999</v>
      </c>
      <c r="D78" s="81"/>
      <c r="E78" s="81"/>
      <c r="F78" s="119">
        <f t="shared" si="25"/>
        <v>0</v>
      </c>
      <c r="G78" s="81"/>
      <c r="H78" s="81"/>
      <c r="I78" s="119">
        <f t="shared" si="30"/>
        <v>0</v>
      </c>
      <c r="J78" s="81"/>
      <c r="K78" s="81"/>
      <c r="L78" s="119">
        <f t="shared" si="31"/>
        <v>0</v>
      </c>
      <c r="M78" s="81"/>
      <c r="N78" s="81"/>
      <c r="O78" s="119">
        <f t="shared" si="32"/>
        <v>0</v>
      </c>
      <c r="P78" s="81"/>
      <c r="Q78" s="81"/>
      <c r="R78" s="119">
        <f t="shared" si="33"/>
        <v>0</v>
      </c>
      <c r="S78" s="128">
        <f t="shared" si="17"/>
        <v>0</v>
      </c>
    </row>
    <row r="79" spans="1:19" ht="13.95" hidden="1" customHeight="1" outlineLevel="2" x14ac:dyDescent="0.3">
      <c r="A79" s="103"/>
      <c r="B79" s="121" t="s">
        <v>198</v>
      </c>
      <c r="C79" s="92">
        <f>+'KV-Gehälter pro PersGrp'!$D$20</f>
        <v>67.47999999999999</v>
      </c>
      <c r="D79" s="81"/>
      <c r="E79" s="81"/>
      <c r="F79" s="119">
        <f t="shared" si="25"/>
        <v>0</v>
      </c>
      <c r="G79" s="81"/>
      <c r="H79" s="81"/>
      <c r="I79" s="119">
        <f t="shared" si="30"/>
        <v>0</v>
      </c>
      <c r="J79" s="81"/>
      <c r="K79" s="81"/>
      <c r="L79" s="119">
        <f t="shared" si="31"/>
        <v>0</v>
      </c>
      <c r="M79" s="81"/>
      <c r="N79" s="81"/>
      <c r="O79" s="119">
        <f t="shared" si="32"/>
        <v>0</v>
      </c>
      <c r="P79" s="81"/>
      <c r="Q79" s="81"/>
      <c r="R79" s="119">
        <f t="shared" si="33"/>
        <v>0</v>
      </c>
      <c r="S79" s="128">
        <f t="shared" si="17"/>
        <v>0</v>
      </c>
    </row>
    <row r="80" spans="1:19" ht="13.95" hidden="1" customHeight="1" outlineLevel="2" x14ac:dyDescent="0.3">
      <c r="A80" s="103"/>
      <c r="B80" s="121" t="s">
        <v>199</v>
      </c>
      <c r="C80" s="92">
        <f>+'KV-Gehälter pro PersGrp'!$D$20</f>
        <v>67.47999999999999</v>
      </c>
      <c r="D80" s="81"/>
      <c r="E80" s="81"/>
      <c r="F80" s="119">
        <f t="shared" si="25"/>
        <v>0</v>
      </c>
      <c r="G80" s="81"/>
      <c r="H80" s="81"/>
      <c r="I80" s="119">
        <f t="shared" si="30"/>
        <v>0</v>
      </c>
      <c r="J80" s="81"/>
      <c r="K80" s="81"/>
      <c r="L80" s="119">
        <f t="shared" si="31"/>
        <v>0</v>
      </c>
      <c r="M80" s="81"/>
      <c r="N80" s="81"/>
      <c r="O80" s="119">
        <f t="shared" si="32"/>
        <v>0</v>
      </c>
      <c r="P80" s="81"/>
      <c r="Q80" s="81"/>
      <c r="R80" s="119">
        <f t="shared" si="33"/>
        <v>0</v>
      </c>
      <c r="S80" s="128">
        <f t="shared" si="17"/>
        <v>0</v>
      </c>
    </row>
    <row r="81" spans="1:22" ht="13.95" hidden="1" customHeight="1" outlineLevel="2" x14ac:dyDescent="0.3">
      <c r="A81" s="103"/>
      <c r="B81" s="121" t="s">
        <v>200</v>
      </c>
      <c r="C81" s="92">
        <f>+'KV-Gehälter pro PersGrp'!$D$20</f>
        <v>67.47999999999999</v>
      </c>
      <c r="D81" s="81"/>
      <c r="E81" s="81"/>
      <c r="F81" s="119">
        <f t="shared" si="25"/>
        <v>0</v>
      </c>
      <c r="G81" s="81"/>
      <c r="H81" s="81"/>
      <c r="I81" s="119">
        <f t="shared" si="30"/>
        <v>0</v>
      </c>
      <c r="J81" s="81"/>
      <c r="K81" s="81"/>
      <c r="L81" s="119">
        <f t="shared" si="31"/>
        <v>0</v>
      </c>
      <c r="M81" s="81"/>
      <c r="N81" s="81"/>
      <c r="O81" s="119">
        <f t="shared" si="32"/>
        <v>0</v>
      </c>
      <c r="P81" s="81"/>
      <c r="Q81" s="81"/>
      <c r="R81" s="119">
        <f t="shared" si="33"/>
        <v>0</v>
      </c>
      <c r="S81" s="128">
        <f t="shared" si="17"/>
        <v>0</v>
      </c>
    </row>
    <row r="82" spans="1:22" ht="13.95" hidden="1" customHeight="1" outlineLevel="2" x14ac:dyDescent="0.3">
      <c r="A82" s="103"/>
      <c r="B82" s="121" t="s">
        <v>201</v>
      </c>
      <c r="C82" s="92">
        <f>+'KV-Gehälter pro PersGrp'!$D$20</f>
        <v>67.47999999999999</v>
      </c>
      <c r="D82" s="81"/>
      <c r="E82" s="81"/>
      <c r="F82" s="119">
        <f t="shared" si="25"/>
        <v>0</v>
      </c>
      <c r="G82" s="81"/>
      <c r="H82" s="81"/>
      <c r="I82" s="119">
        <f t="shared" si="30"/>
        <v>0</v>
      </c>
      <c r="J82" s="81"/>
      <c r="K82" s="81"/>
      <c r="L82" s="119">
        <f t="shared" si="31"/>
        <v>0</v>
      </c>
      <c r="M82" s="81"/>
      <c r="N82" s="81"/>
      <c r="O82" s="119">
        <f t="shared" si="32"/>
        <v>0</v>
      </c>
      <c r="P82" s="81"/>
      <c r="Q82" s="81"/>
      <c r="R82" s="119">
        <f t="shared" si="33"/>
        <v>0</v>
      </c>
      <c r="S82" s="128">
        <f t="shared" si="17"/>
        <v>0</v>
      </c>
    </row>
    <row r="83" spans="1:22" ht="13.95" hidden="1" customHeight="1" outlineLevel="2" x14ac:dyDescent="0.3">
      <c r="A83" s="103"/>
      <c r="B83" s="121" t="s">
        <v>202</v>
      </c>
      <c r="C83" s="92">
        <f>+'KV-Gehälter pro PersGrp'!$D$20</f>
        <v>67.47999999999999</v>
      </c>
      <c r="D83" s="81"/>
      <c r="E83" s="81"/>
      <c r="F83" s="119">
        <f t="shared" si="25"/>
        <v>0</v>
      </c>
      <c r="G83" s="81"/>
      <c r="H83" s="81"/>
      <c r="I83" s="119">
        <f t="shared" si="30"/>
        <v>0</v>
      </c>
      <c r="J83" s="81"/>
      <c r="K83" s="81"/>
      <c r="L83" s="119">
        <f t="shared" si="31"/>
        <v>0</v>
      </c>
      <c r="M83" s="81"/>
      <c r="N83" s="81"/>
      <c r="O83" s="119">
        <f t="shared" si="32"/>
        <v>0</v>
      </c>
      <c r="P83" s="81"/>
      <c r="Q83" s="81"/>
      <c r="R83" s="119">
        <f t="shared" si="33"/>
        <v>0</v>
      </c>
      <c r="S83" s="128">
        <f t="shared" si="17"/>
        <v>0</v>
      </c>
    </row>
    <row r="84" spans="1:22" ht="13.95" hidden="1" customHeight="1" outlineLevel="2" x14ac:dyDescent="0.3">
      <c r="A84" s="103"/>
      <c r="B84" s="121" t="s">
        <v>203</v>
      </c>
      <c r="C84" s="92">
        <f>+'KV-Gehälter pro PersGrp'!$D$20</f>
        <v>67.47999999999999</v>
      </c>
      <c r="D84" s="81"/>
      <c r="E84" s="81"/>
      <c r="F84" s="119">
        <f t="shared" si="25"/>
        <v>0</v>
      </c>
      <c r="G84" s="81"/>
      <c r="H84" s="81"/>
      <c r="I84" s="119">
        <f t="shared" si="30"/>
        <v>0</v>
      </c>
      <c r="J84" s="81"/>
      <c r="K84" s="81"/>
      <c r="L84" s="119">
        <f t="shared" si="31"/>
        <v>0</v>
      </c>
      <c r="M84" s="81"/>
      <c r="N84" s="81"/>
      <c r="O84" s="119">
        <f t="shared" si="32"/>
        <v>0</v>
      </c>
      <c r="P84" s="81"/>
      <c r="Q84" s="81"/>
      <c r="R84" s="119">
        <f t="shared" si="33"/>
        <v>0</v>
      </c>
      <c r="S84" s="128">
        <f t="shared" si="17"/>
        <v>0</v>
      </c>
    </row>
    <row r="85" spans="1:22" ht="13.95" hidden="1" customHeight="1" outlineLevel="2" x14ac:dyDescent="0.3">
      <c r="A85" s="103"/>
      <c r="B85" s="121" t="s">
        <v>204</v>
      </c>
      <c r="C85" s="92">
        <f>+'KV-Gehälter pro PersGrp'!$D$20</f>
        <v>67.47999999999999</v>
      </c>
      <c r="D85" s="81"/>
      <c r="E85" s="81"/>
      <c r="F85" s="119">
        <f t="shared" si="25"/>
        <v>0</v>
      </c>
      <c r="G85" s="81"/>
      <c r="H85" s="81"/>
      <c r="I85" s="119">
        <f t="shared" si="30"/>
        <v>0</v>
      </c>
      <c r="J85" s="81"/>
      <c r="K85" s="81"/>
      <c r="L85" s="119">
        <f t="shared" si="31"/>
        <v>0</v>
      </c>
      <c r="M85" s="81"/>
      <c r="N85" s="81"/>
      <c r="O85" s="119">
        <f t="shared" si="32"/>
        <v>0</v>
      </c>
      <c r="P85" s="81"/>
      <c r="Q85" s="81"/>
      <c r="R85" s="119">
        <f t="shared" si="33"/>
        <v>0</v>
      </c>
      <c r="S85" s="128">
        <f t="shared" si="17"/>
        <v>0</v>
      </c>
    </row>
    <row r="86" spans="1:22" ht="13.95" hidden="1" customHeight="1" outlineLevel="2" x14ac:dyDescent="0.3">
      <c r="A86" s="103"/>
      <c r="B86" s="121" t="s">
        <v>205</v>
      </c>
      <c r="C86" s="92">
        <f>+'KV-Gehälter pro PersGrp'!$D$20</f>
        <v>67.47999999999999</v>
      </c>
      <c r="D86" s="81"/>
      <c r="E86" s="81"/>
      <c r="F86" s="119">
        <f t="shared" si="25"/>
        <v>0</v>
      </c>
      <c r="G86" s="81"/>
      <c r="H86" s="81"/>
      <c r="I86" s="119">
        <f t="shared" si="30"/>
        <v>0</v>
      </c>
      <c r="J86" s="81"/>
      <c r="K86" s="81"/>
      <c r="L86" s="119">
        <f t="shared" si="31"/>
        <v>0</v>
      </c>
      <c r="M86" s="81"/>
      <c r="N86" s="81"/>
      <c r="O86" s="119">
        <f t="shared" si="32"/>
        <v>0</v>
      </c>
      <c r="P86" s="81"/>
      <c r="Q86" s="81"/>
      <c r="R86" s="119">
        <f t="shared" si="33"/>
        <v>0</v>
      </c>
      <c r="S86" s="128">
        <f t="shared" si="17"/>
        <v>0</v>
      </c>
    </row>
    <row r="87" spans="1:22" ht="13.95" customHeight="1" outlineLevel="1" collapsed="1" x14ac:dyDescent="0.3">
      <c r="A87" s="106">
        <v>673020</v>
      </c>
      <c r="B87" s="216" t="s">
        <v>165</v>
      </c>
      <c r="C87" s="217"/>
      <c r="D87" s="183"/>
      <c r="E87" s="184"/>
      <c r="F87" s="185"/>
      <c r="G87" s="183"/>
      <c r="H87" s="184"/>
      <c r="I87" s="185"/>
      <c r="J87" s="183"/>
      <c r="K87" s="184"/>
      <c r="L87" s="185"/>
      <c r="M87" s="183"/>
      <c r="N87" s="184"/>
      <c r="O87" s="185"/>
      <c r="P87" s="183"/>
      <c r="Q87" s="184"/>
      <c r="R87" s="185"/>
      <c r="S87" s="128">
        <f>SUM(D87:R87)</f>
        <v>0</v>
      </c>
    </row>
    <row r="88" spans="1:22" ht="13.95" customHeight="1" outlineLevel="1" x14ac:dyDescent="0.3">
      <c r="A88" s="104"/>
      <c r="B88" s="84" t="s">
        <v>112</v>
      </c>
      <c r="C88" s="97"/>
      <c r="D88" s="124"/>
      <c r="E88" s="125"/>
      <c r="F88" s="126">
        <f>SUM(F37:F45)+F56+D87</f>
        <v>0</v>
      </c>
      <c r="G88" s="124"/>
      <c r="H88" s="125"/>
      <c r="I88" s="126">
        <f>SUM(I37:I45)+I56+G87</f>
        <v>0</v>
      </c>
      <c r="J88" s="124"/>
      <c r="K88" s="125"/>
      <c r="L88" s="126">
        <f>SUM(L37:L45)+L56+J87</f>
        <v>0</v>
      </c>
      <c r="M88" s="124"/>
      <c r="N88" s="125"/>
      <c r="O88" s="126">
        <f>SUM(O37:O45)+O56+M87</f>
        <v>0</v>
      </c>
      <c r="P88" s="124"/>
      <c r="Q88" s="125"/>
      <c r="R88" s="126">
        <f>SUM(R37:R45)+R56+P87</f>
        <v>0</v>
      </c>
      <c r="S88" s="131">
        <f>SUM(S37+S38+S39+S40+S41+S42+S43+S44+S45+S56+S87)</f>
        <v>0</v>
      </c>
    </row>
    <row r="89" spans="1:22" ht="13.95" hidden="1" customHeight="1" outlineLevel="2" x14ac:dyDescent="0.3">
      <c r="A89" s="103">
        <v>691010</v>
      </c>
      <c r="B89" s="78" t="s">
        <v>33</v>
      </c>
      <c r="C89" s="94">
        <f>+C26</f>
        <v>3.9E-2</v>
      </c>
      <c r="D89" s="54"/>
      <c r="E89" s="54"/>
      <c r="F89" s="119">
        <f>ROUND((F88-D87)*$C$89,2)</f>
        <v>0</v>
      </c>
      <c r="G89" s="54"/>
      <c r="H89" s="54"/>
      <c r="I89" s="119">
        <f>ROUND((I88-G87)*$C$89,2)</f>
        <v>0</v>
      </c>
      <c r="J89" s="54"/>
      <c r="K89" s="54"/>
      <c r="L89" s="119">
        <f>ROUND((L88-J87)*$C$89,2)</f>
        <v>0</v>
      </c>
      <c r="M89" s="54"/>
      <c r="N89" s="54"/>
      <c r="O89" s="119">
        <f>ROUND((O88-M87)*$C$89,2)</f>
        <v>0</v>
      </c>
      <c r="P89" s="54"/>
      <c r="Q89" s="54"/>
      <c r="R89" s="119">
        <f>ROUND((R88-P87)*$C$89,2)</f>
        <v>0</v>
      </c>
      <c r="S89" s="128">
        <f>F89+I89+L89+O89+R89</f>
        <v>0</v>
      </c>
      <c r="V89" s="5"/>
    </row>
    <row r="90" spans="1:22" ht="13.95" hidden="1" customHeight="1" outlineLevel="2" x14ac:dyDescent="0.3">
      <c r="A90" s="103">
        <v>691230</v>
      </c>
      <c r="B90" s="78" t="s">
        <v>34</v>
      </c>
      <c r="C90" s="95">
        <f>+C27</f>
        <v>0.20155000000000001</v>
      </c>
      <c r="D90" s="54"/>
      <c r="E90" s="54"/>
      <c r="F90" s="119">
        <f>ROUND((F88-D87)*$C$90,2)</f>
        <v>0</v>
      </c>
      <c r="G90" s="54"/>
      <c r="H90" s="54"/>
      <c r="I90" s="119">
        <f>ROUND((I88-G87)*$C$90,2)</f>
        <v>0</v>
      </c>
      <c r="J90" s="54"/>
      <c r="K90" s="54"/>
      <c r="L90" s="119">
        <f>ROUND((L88-J87)*$C$90,2)</f>
        <v>0</v>
      </c>
      <c r="M90" s="54"/>
      <c r="N90" s="54"/>
      <c r="O90" s="119">
        <f>ROUND((O88-M87)*$C$90,2)</f>
        <v>0</v>
      </c>
      <c r="P90" s="54"/>
      <c r="Q90" s="54"/>
      <c r="R90" s="119">
        <f>ROUND((R88-P87)*$C$90,2)</f>
        <v>0</v>
      </c>
      <c r="S90" s="128">
        <f t="shared" ref="S90:S92" si="34">F90+I90+L90+O90+R90</f>
        <v>0</v>
      </c>
    </row>
    <row r="91" spans="1:22" ht="13.95" hidden="1" customHeight="1" outlineLevel="2" x14ac:dyDescent="0.3">
      <c r="A91" s="103">
        <v>691510</v>
      </c>
      <c r="B91" s="78" t="s">
        <v>35</v>
      </c>
      <c r="C91" s="114">
        <v>2</v>
      </c>
      <c r="D91" s="54"/>
      <c r="E91" s="54"/>
      <c r="F91" s="119">
        <f>ROUND($C$91*51.5/12*(SUM(E37:E86)),2)</f>
        <v>0</v>
      </c>
      <c r="G91" s="54"/>
      <c r="H91" s="54"/>
      <c r="I91" s="119">
        <f>ROUND($C$91*51.5/12*(SUM(H37:H86)),2)</f>
        <v>0</v>
      </c>
      <c r="J91" s="54"/>
      <c r="K91" s="54"/>
      <c r="L91" s="119">
        <f>ROUND($C$91*51.5/12*(SUM(K37:K86)),2)</f>
        <v>0</v>
      </c>
      <c r="M91" s="54"/>
      <c r="N91" s="54"/>
      <c r="O91" s="119">
        <f>ROUND($C$91*51.5/12*(SUM(N37:N86)),2)</f>
        <v>0</v>
      </c>
      <c r="P91" s="54"/>
      <c r="Q91" s="54"/>
      <c r="R91" s="119">
        <f>ROUND($C$91*51.5/12*(SUM(Q37:Q86)),2)</f>
        <v>0</v>
      </c>
      <c r="S91" s="128">
        <f t="shared" si="34"/>
        <v>0</v>
      </c>
    </row>
    <row r="92" spans="1:22" ht="13.95" hidden="1" customHeight="1" outlineLevel="2" x14ac:dyDescent="0.3">
      <c r="A92" s="103">
        <v>691920</v>
      </c>
      <c r="B92" s="78" t="s">
        <v>36</v>
      </c>
      <c r="C92" s="95">
        <f>+C29</f>
        <v>1.5299999999999999E-2</v>
      </c>
      <c r="D92" s="54"/>
      <c r="E92" s="54"/>
      <c r="F92" s="119">
        <f>ROUND((F88-D87)*$C$92,2)</f>
        <v>0</v>
      </c>
      <c r="G92" s="54"/>
      <c r="H92" s="54"/>
      <c r="I92" s="119">
        <f>ROUND((I88-G87)*$C$92,2)</f>
        <v>0</v>
      </c>
      <c r="J92" s="54"/>
      <c r="K92" s="54"/>
      <c r="L92" s="119">
        <f>ROUND((L88-J87)*$C$92,2)</f>
        <v>0</v>
      </c>
      <c r="M92" s="54"/>
      <c r="N92" s="54"/>
      <c r="O92" s="119">
        <f>ROUND((O88-M87)*$C$92,2)</f>
        <v>0</v>
      </c>
      <c r="P92" s="54"/>
      <c r="Q92" s="54"/>
      <c r="R92" s="119">
        <f>ROUND((R88-P87)*$C$92,2)</f>
        <v>0</v>
      </c>
      <c r="S92" s="128">
        <f t="shared" si="34"/>
        <v>0</v>
      </c>
      <c r="U92" s="6"/>
    </row>
    <row r="93" spans="1:22" ht="13.95" hidden="1" customHeight="1" outlineLevel="2" x14ac:dyDescent="0.3">
      <c r="A93" s="106">
        <v>691310</v>
      </c>
      <c r="B93" s="78" t="s">
        <v>71</v>
      </c>
      <c r="C93" s="53">
        <f>+C103</f>
        <v>3.9E-2</v>
      </c>
      <c r="D93" s="54"/>
      <c r="E93" s="54"/>
      <c r="F93" s="119">
        <f>ROUND(D87*$C$93,2)</f>
        <v>0</v>
      </c>
      <c r="G93" s="54"/>
      <c r="H93" s="54"/>
      <c r="I93" s="119">
        <f>ROUND(G87*$C$93,2)</f>
        <v>0</v>
      </c>
      <c r="J93" s="54"/>
      <c r="K93" s="54"/>
      <c r="L93" s="119">
        <f>ROUND(J87*$C$93,2)</f>
        <v>0</v>
      </c>
      <c r="M93" s="54"/>
      <c r="N93" s="54"/>
      <c r="O93" s="119">
        <f>ROUND(M87*$C$93,2)</f>
        <v>0</v>
      </c>
      <c r="P93" s="54"/>
      <c r="Q93" s="54"/>
      <c r="R93" s="119">
        <f>ROUND(P87*$C$93,2)</f>
        <v>0</v>
      </c>
      <c r="S93" s="128">
        <f>SUM(E93:R93)</f>
        <v>0</v>
      </c>
      <c r="U93" s="5"/>
    </row>
    <row r="94" spans="1:22" ht="12.75" hidden="1" customHeight="1" outlineLevel="2" x14ac:dyDescent="0.3">
      <c r="A94" s="103">
        <v>691310</v>
      </c>
      <c r="B94" s="78" t="s">
        <v>166</v>
      </c>
      <c r="C94" s="53">
        <f>+C104</f>
        <v>0.19655</v>
      </c>
      <c r="D94" s="54"/>
      <c r="E94" s="54"/>
      <c r="F94" s="119">
        <f>ROUND(+D87*$C$94,2)</f>
        <v>0</v>
      </c>
      <c r="G94" s="54"/>
      <c r="H94" s="54"/>
      <c r="I94" s="119">
        <f>ROUND(+G87*$C$94,2)</f>
        <v>0</v>
      </c>
      <c r="J94" s="54"/>
      <c r="K94" s="54"/>
      <c r="L94" s="119">
        <f>ROUND(+J87*$C$94,2)</f>
        <v>0</v>
      </c>
      <c r="M94" s="54"/>
      <c r="N94" s="54"/>
      <c r="O94" s="119">
        <f>ROUND(+M87*$C$94,2)</f>
        <v>0</v>
      </c>
      <c r="P94" s="54"/>
      <c r="Q94" s="54"/>
      <c r="R94" s="119">
        <f>ROUND(+P87*$C$94,2)</f>
        <v>0</v>
      </c>
      <c r="S94" s="128">
        <f>SUM(E94:R94)</f>
        <v>0</v>
      </c>
      <c r="U94" s="5"/>
    </row>
    <row r="95" spans="1:22" ht="13.95" hidden="1" customHeight="1" outlineLevel="2" x14ac:dyDescent="0.3">
      <c r="A95" s="103">
        <v>691930</v>
      </c>
      <c r="B95" s="78" t="s">
        <v>167</v>
      </c>
      <c r="C95" s="53">
        <f>+C105</f>
        <v>1.5299999999999999E-2</v>
      </c>
      <c r="D95" s="54"/>
      <c r="E95" s="54"/>
      <c r="F95" s="119">
        <f>ROUND(D87*$C$95,2)</f>
        <v>0</v>
      </c>
      <c r="G95" s="54"/>
      <c r="H95" s="54"/>
      <c r="I95" s="119">
        <f>ROUND(G87*$C$95,2)</f>
        <v>0</v>
      </c>
      <c r="J95" s="54"/>
      <c r="K95" s="54"/>
      <c r="L95" s="119">
        <f>ROUND(J87*$C$95,2)</f>
        <v>0</v>
      </c>
      <c r="M95" s="54"/>
      <c r="N95" s="54"/>
      <c r="O95" s="119">
        <f>ROUND(M87*$C$95,2)</f>
        <v>0</v>
      </c>
      <c r="P95" s="54"/>
      <c r="Q95" s="54"/>
      <c r="R95" s="119">
        <f>ROUND(P87*$C$95,2)</f>
        <v>0</v>
      </c>
      <c r="S95" s="128">
        <f>SUM(E95:R95)</f>
        <v>0</v>
      </c>
      <c r="U95" s="5"/>
    </row>
    <row r="96" spans="1:22" s="8" customFormat="1" ht="12.75" customHeight="1" outlineLevel="1" collapsed="1" x14ac:dyDescent="0.3">
      <c r="A96" s="105"/>
      <c r="B96" s="84" t="s">
        <v>146</v>
      </c>
      <c r="C96" s="98"/>
      <c r="D96" s="124"/>
      <c r="E96" s="125"/>
      <c r="F96" s="127">
        <f>SUM(F89:F95)</f>
        <v>0</v>
      </c>
      <c r="G96" s="124"/>
      <c r="H96" s="125"/>
      <c r="I96" s="127">
        <f>SUM(I89:I95)</f>
        <v>0</v>
      </c>
      <c r="J96" s="125"/>
      <c r="K96" s="125"/>
      <c r="L96" s="127">
        <f>SUM(L89:L95)</f>
        <v>0</v>
      </c>
      <c r="M96" s="124"/>
      <c r="N96" s="125"/>
      <c r="O96" s="127">
        <f>SUM(O89:O95)</f>
        <v>0</v>
      </c>
      <c r="P96" s="124"/>
      <c r="Q96" s="125"/>
      <c r="R96" s="127">
        <f>SUM(R89:R95)</f>
        <v>0</v>
      </c>
      <c r="S96" s="120">
        <f>F96+I96+L96+O96+R96</f>
        <v>0</v>
      </c>
      <c r="U96" s="75"/>
      <c r="V96" s="76"/>
    </row>
    <row r="97" spans="1:25" s="8" customFormat="1" ht="18.75" customHeight="1" x14ac:dyDescent="0.3">
      <c r="A97" s="107"/>
      <c r="B97" s="229" t="s">
        <v>185</v>
      </c>
      <c r="C97" s="230"/>
      <c r="D97" s="221">
        <f>+F88+F96</f>
        <v>0</v>
      </c>
      <c r="E97" s="222"/>
      <c r="F97" s="223"/>
      <c r="G97" s="221">
        <f>+I88+I96</f>
        <v>0</v>
      </c>
      <c r="H97" s="222"/>
      <c r="I97" s="223"/>
      <c r="J97" s="221">
        <f>+L88+L96</f>
        <v>0</v>
      </c>
      <c r="K97" s="222"/>
      <c r="L97" s="223"/>
      <c r="M97" s="221">
        <f>+O88+O96</f>
        <v>0</v>
      </c>
      <c r="N97" s="222"/>
      <c r="O97" s="223"/>
      <c r="P97" s="221">
        <f>+R88+R96</f>
        <v>0</v>
      </c>
      <c r="Q97" s="222"/>
      <c r="R97" s="223"/>
      <c r="S97" s="117">
        <f>+S96+S88</f>
        <v>0</v>
      </c>
      <c r="U97" s="176"/>
    </row>
    <row r="98" spans="1:25" ht="15" customHeight="1" x14ac:dyDescent="0.3">
      <c r="A98" s="108"/>
    </row>
    <row r="99" spans="1:25" s="4" customFormat="1" ht="12.75" customHeight="1" x14ac:dyDescent="0.3">
      <c r="A99" s="206"/>
      <c r="B99" s="202" t="s">
        <v>115</v>
      </c>
      <c r="C99" s="204"/>
      <c r="D99" s="202">
        <f>D10</f>
        <v>2025</v>
      </c>
      <c r="E99" s="203"/>
      <c r="F99" s="204"/>
      <c r="G99" s="202">
        <f t="shared" ref="G99" si="35">G10</f>
        <v>2026</v>
      </c>
      <c r="H99" s="203"/>
      <c r="I99" s="204"/>
      <c r="J99" s="202">
        <f t="shared" ref="J99" si="36">J10</f>
        <v>2027</v>
      </c>
      <c r="K99" s="203"/>
      <c r="L99" s="204"/>
      <c r="M99" s="202">
        <f t="shared" ref="M99" si="37">M10</f>
        <v>2028</v>
      </c>
      <c r="N99" s="203"/>
      <c r="O99" s="204"/>
      <c r="P99" s="202">
        <f t="shared" ref="P99" si="38">P10</f>
        <v>2029</v>
      </c>
      <c r="Q99" s="203"/>
      <c r="R99" s="204"/>
      <c r="S99" s="206" t="s">
        <v>123</v>
      </c>
      <c r="T99" s="8"/>
      <c r="U99" s="2"/>
      <c r="V99" s="8"/>
      <c r="W99" s="8"/>
      <c r="X99" s="8"/>
      <c r="Y99" s="8"/>
    </row>
    <row r="100" spans="1:25" s="4" customFormat="1" x14ac:dyDescent="0.3">
      <c r="A100" s="207"/>
      <c r="B100" s="224"/>
      <c r="C100" s="225"/>
      <c r="D100" s="226" t="s">
        <v>122</v>
      </c>
      <c r="E100" s="227"/>
      <c r="F100" s="228"/>
      <c r="G100" s="226" t="s">
        <v>122</v>
      </c>
      <c r="H100" s="227"/>
      <c r="I100" s="228"/>
      <c r="J100" s="226" t="s">
        <v>122</v>
      </c>
      <c r="K100" s="227"/>
      <c r="L100" s="228"/>
      <c r="M100" s="226" t="s">
        <v>122</v>
      </c>
      <c r="N100" s="227"/>
      <c r="O100" s="228"/>
      <c r="P100" s="226" t="s">
        <v>122</v>
      </c>
      <c r="Q100" s="227"/>
      <c r="R100" s="228"/>
      <c r="S100" s="207"/>
      <c r="T100" s="8"/>
      <c r="U100" s="2"/>
      <c r="V100" s="8"/>
      <c r="W100" s="8"/>
      <c r="X100" s="8"/>
      <c r="Y100" s="8"/>
    </row>
    <row r="101" spans="1:25" hidden="1" outlineLevel="1" x14ac:dyDescent="0.3">
      <c r="A101" s="103">
        <v>664300</v>
      </c>
      <c r="B101" s="216" t="s">
        <v>0</v>
      </c>
      <c r="C101" s="217"/>
      <c r="D101" s="183"/>
      <c r="E101" s="184"/>
      <c r="F101" s="185"/>
      <c r="G101" s="197"/>
      <c r="H101" s="197"/>
      <c r="I101" s="197"/>
      <c r="J101" s="197"/>
      <c r="K101" s="197"/>
      <c r="L101" s="197"/>
      <c r="M101" s="197"/>
      <c r="N101" s="197"/>
      <c r="O101" s="197"/>
      <c r="P101" s="197"/>
      <c r="Q101" s="197"/>
      <c r="R101" s="197"/>
      <c r="S101" s="128">
        <f>SUM(D101:R101)</f>
        <v>0</v>
      </c>
      <c r="U101" s="5"/>
    </row>
    <row r="102" spans="1:25" hidden="1" outlineLevel="1" x14ac:dyDescent="0.3">
      <c r="A102" s="103">
        <v>664200</v>
      </c>
      <c r="B102" s="216" t="s">
        <v>9</v>
      </c>
      <c r="C102" s="217"/>
      <c r="D102" s="183"/>
      <c r="E102" s="184"/>
      <c r="F102" s="185"/>
      <c r="G102" s="197"/>
      <c r="H102" s="197"/>
      <c r="I102" s="197"/>
      <c r="J102" s="197"/>
      <c r="K102" s="197"/>
      <c r="L102" s="197"/>
      <c r="M102" s="197"/>
      <c r="N102" s="197"/>
      <c r="O102" s="197"/>
      <c r="P102" s="197"/>
      <c r="Q102" s="197"/>
      <c r="R102" s="197"/>
      <c r="S102" s="128">
        <f t="shared" ref="S102:S114" si="39">SUM(D102:R102)</f>
        <v>0</v>
      </c>
      <c r="U102" s="5"/>
    </row>
    <row r="103" spans="1:25" ht="13.95" hidden="1" customHeight="1" outlineLevel="2" x14ac:dyDescent="0.3">
      <c r="A103" s="106">
        <v>691020</v>
      </c>
      <c r="B103" s="78" t="s">
        <v>71</v>
      </c>
      <c r="C103" s="53">
        <v>3.9E-2</v>
      </c>
      <c r="D103" s="218">
        <f>D102*$C$103</f>
        <v>0</v>
      </c>
      <c r="E103" s="219"/>
      <c r="F103" s="220"/>
      <c r="G103" s="195">
        <f>G102*$C$103</f>
        <v>0</v>
      </c>
      <c r="H103" s="195"/>
      <c r="I103" s="195"/>
      <c r="J103" s="195">
        <f>J102*$C$103</f>
        <v>0</v>
      </c>
      <c r="K103" s="195"/>
      <c r="L103" s="195"/>
      <c r="M103" s="195">
        <f>M102*$C$103</f>
        <v>0</v>
      </c>
      <c r="N103" s="195"/>
      <c r="O103" s="195"/>
      <c r="P103" s="195">
        <f>P102*$C$103</f>
        <v>0</v>
      </c>
      <c r="Q103" s="195"/>
      <c r="R103" s="195"/>
      <c r="S103" s="128">
        <f t="shared" si="39"/>
        <v>0</v>
      </c>
      <c r="U103" s="5"/>
    </row>
    <row r="104" spans="1:25" ht="12.75" hidden="1" customHeight="1" outlineLevel="2" x14ac:dyDescent="0.3">
      <c r="A104" s="103">
        <v>691300</v>
      </c>
      <c r="B104" s="78" t="s">
        <v>7</v>
      </c>
      <c r="C104" s="53">
        <f>(3.535+0.47+12.55+3+0.1)/100</f>
        <v>0.19655</v>
      </c>
      <c r="D104" s="218">
        <f>$C$104*D102</f>
        <v>0</v>
      </c>
      <c r="E104" s="219"/>
      <c r="F104" s="220"/>
      <c r="G104" s="195">
        <f>$C$104*G102</f>
        <v>0</v>
      </c>
      <c r="H104" s="195"/>
      <c r="I104" s="195">
        <f t="shared" ref="I104" si="40">$C$104*I102</f>
        <v>0</v>
      </c>
      <c r="J104" s="195">
        <f>$C$104*J102</f>
        <v>0</v>
      </c>
      <c r="K104" s="195"/>
      <c r="L104" s="195">
        <f t="shared" ref="L104" si="41">$C$104*L102</f>
        <v>0</v>
      </c>
      <c r="M104" s="195">
        <f>$C$104*M102</f>
        <v>0</v>
      </c>
      <c r="N104" s="195"/>
      <c r="O104" s="195">
        <f t="shared" ref="O104" si="42">$C$104*O102</f>
        <v>0</v>
      </c>
      <c r="P104" s="195">
        <f>$C$104*P102</f>
        <v>0</v>
      </c>
      <c r="Q104" s="195"/>
      <c r="R104" s="195">
        <f t="shared" ref="R104" si="43">$C$104*R102</f>
        <v>0</v>
      </c>
      <c r="S104" s="128">
        <f t="shared" si="39"/>
        <v>0</v>
      </c>
      <c r="U104" s="5"/>
    </row>
    <row r="105" spans="1:25" ht="13.95" hidden="1" customHeight="1" outlineLevel="2" x14ac:dyDescent="0.3">
      <c r="A105" s="103">
        <v>691910</v>
      </c>
      <c r="B105" s="78" t="s">
        <v>8</v>
      </c>
      <c r="C105" s="53">
        <v>1.5299999999999999E-2</v>
      </c>
      <c r="D105" s="218">
        <f>$C$105*D102</f>
        <v>0</v>
      </c>
      <c r="E105" s="219"/>
      <c r="F105" s="220"/>
      <c r="G105" s="195">
        <f>$C$105*G102</f>
        <v>0</v>
      </c>
      <c r="H105" s="195"/>
      <c r="I105" s="195"/>
      <c r="J105" s="195">
        <f>$C$105*J102</f>
        <v>0</v>
      </c>
      <c r="K105" s="195"/>
      <c r="L105" s="195"/>
      <c r="M105" s="195">
        <f>$C$105*M102</f>
        <v>0</v>
      </c>
      <c r="N105" s="195"/>
      <c r="O105" s="195"/>
      <c r="P105" s="195">
        <f>$C$105*P102</f>
        <v>0</v>
      </c>
      <c r="Q105" s="195"/>
      <c r="R105" s="195"/>
      <c r="S105" s="128">
        <f t="shared" si="39"/>
        <v>0</v>
      </c>
      <c r="U105" s="5"/>
    </row>
    <row r="106" spans="1:25" hidden="1" outlineLevel="1" x14ac:dyDescent="0.3">
      <c r="A106" s="109"/>
      <c r="B106" s="122" t="s">
        <v>15</v>
      </c>
      <c r="C106" s="123"/>
      <c r="D106" s="192">
        <f>SUM(D103:F105)</f>
        <v>0</v>
      </c>
      <c r="E106" s="193"/>
      <c r="F106" s="194"/>
      <c r="G106" s="192">
        <f>SUM(G103:I105)</f>
        <v>0</v>
      </c>
      <c r="H106" s="193"/>
      <c r="I106" s="194"/>
      <c r="J106" s="192">
        <f>SUM(J103:L105)</f>
        <v>0</v>
      </c>
      <c r="K106" s="193"/>
      <c r="L106" s="194"/>
      <c r="M106" s="192">
        <f>SUM(M103:O105)</f>
        <v>0</v>
      </c>
      <c r="N106" s="193"/>
      <c r="O106" s="194"/>
      <c r="P106" s="192">
        <f>SUM(P103:R105)</f>
        <v>0</v>
      </c>
      <c r="Q106" s="193"/>
      <c r="R106" s="194"/>
      <c r="S106" s="120">
        <f t="shared" si="39"/>
        <v>0</v>
      </c>
      <c r="U106" s="5"/>
    </row>
    <row r="107" spans="1:25" hidden="1" outlineLevel="1" x14ac:dyDescent="0.3">
      <c r="A107" s="109"/>
      <c r="B107" s="89" t="s">
        <v>120</v>
      </c>
      <c r="C107" s="88"/>
      <c r="D107" s="196">
        <f>D101+D102+D106</f>
        <v>0</v>
      </c>
      <c r="E107" s="196"/>
      <c r="F107" s="196"/>
      <c r="G107" s="196">
        <f>G101+G102+G106</f>
        <v>0</v>
      </c>
      <c r="H107" s="196"/>
      <c r="I107" s="196"/>
      <c r="J107" s="196">
        <f>J101+J102+J106</f>
        <v>0</v>
      </c>
      <c r="K107" s="196"/>
      <c r="L107" s="196"/>
      <c r="M107" s="196">
        <f>M101+M102+M106</f>
        <v>0</v>
      </c>
      <c r="N107" s="196"/>
      <c r="O107" s="196"/>
      <c r="P107" s="196">
        <f>P101+P102+P106</f>
        <v>0</v>
      </c>
      <c r="Q107" s="196"/>
      <c r="R107" s="196"/>
      <c r="S107" s="129">
        <f t="shared" si="39"/>
        <v>0</v>
      </c>
      <c r="U107" s="5"/>
    </row>
    <row r="108" spans="1:25" hidden="1" outlineLevel="1" x14ac:dyDescent="0.3">
      <c r="A108" s="103">
        <v>765000</v>
      </c>
      <c r="B108" s="216" t="s">
        <v>11</v>
      </c>
      <c r="C108" s="217"/>
      <c r="D108" s="213"/>
      <c r="E108" s="214"/>
      <c r="F108" s="215"/>
      <c r="G108" s="197"/>
      <c r="H108" s="197"/>
      <c r="I108" s="197"/>
      <c r="J108" s="197"/>
      <c r="K108" s="197"/>
      <c r="L108" s="197"/>
      <c r="M108" s="197"/>
      <c r="N108" s="197"/>
      <c r="O108" s="197"/>
      <c r="P108" s="197"/>
      <c r="Q108" s="197"/>
      <c r="R108" s="197"/>
      <c r="S108" s="128">
        <f t="shared" si="39"/>
        <v>0</v>
      </c>
    </row>
    <row r="109" spans="1:25" hidden="1" outlineLevel="1" x14ac:dyDescent="0.3">
      <c r="A109" s="103">
        <v>741000</v>
      </c>
      <c r="B109" s="216" t="s">
        <v>12</v>
      </c>
      <c r="C109" s="217"/>
      <c r="D109" s="213"/>
      <c r="E109" s="214"/>
      <c r="F109" s="215"/>
      <c r="G109" s="197"/>
      <c r="H109" s="197"/>
      <c r="I109" s="197"/>
      <c r="J109" s="197"/>
      <c r="K109" s="197"/>
      <c r="L109" s="197"/>
      <c r="M109" s="197"/>
      <c r="N109" s="197"/>
      <c r="O109" s="197"/>
      <c r="P109" s="197"/>
      <c r="Q109" s="197"/>
      <c r="R109" s="197"/>
      <c r="S109" s="128">
        <f t="shared" si="39"/>
        <v>0</v>
      </c>
    </row>
    <row r="110" spans="1:25" hidden="1" outlineLevel="1" x14ac:dyDescent="0.3">
      <c r="A110" s="103">
        <v>753000</v>
      </c>
      <c r="B110" s="216" t="s">
        <v>13</v>
      </c>
      <c r="C110" s="217"/>
      <c r="D110" s="213"/>
      <c r="E110" s="214"/>
      <c r="F110" s="215"/>
      <c r="G110" s="197"/>
      <c r="H110" s="197"/>
      <c r="I110" s="197"/>
      <c r="J110" s="197"/>
      <c r="K110" s="197"/>
      <c r="L110" s="197"/>
      <c r="M110" s="197"/>
      <c r="N110" s="197"/>
      <c r="O110" s="197"/>
      <c r="P110" s="197"/>
      <c r="Q110" s="197"/>
      <c r="R110" s="197"/>
      <c r="S110" s="128">
        <f t="shared" si="39"/>
        <v>0</v>
      </c>
    </row>
    <row r="111" spans="1:25" hidden="1" outlineLevel="1" x14ac:dyDescent="0.3">
      <c r="A111" s="103">
        <v>733000</v>
      </c>
      <c r="B111" s="216" t="s">
        <v>10</v>
      </c>
      <c r="C111" s="217"/>
      <c r="D111" s="213"/>
      <c r="E111" s="214"/>
      <c r="F111" s="215"/>
      <c r="G111" s="197"/>
      <c r="H111" s="197"/>
      <c r="I111" s="197"/>
      <c r="J111" s="197"/>
      <c r="K111" s="197"/>
      <c r="L111" s="197"/>
      <c r="M111" s="197"/>
      <c r="N111" s="197"/>
      <c r="O111" s="197"/>
      <c r="P111" s="197"/>
      <c r="Q111" s="197"/>
      <c r="R111" s="197"/>
      <c r="S111" s="128">
        <f t="shared" si="39"/>
        <v>0</v>
      </c>
    </row>
    <row r="112" spans="1:25" hidden="1" outlineLevel="1" x14ac:dyDescent="0.3">
      <c r="A112" s="103">
        <v>789000</v>
      </c>
      <c r="B112" s="216" t="s">
        <v>14</v>
      </c>
      <c r="C112" s="217"/>
      <c r="D112" s="213"/>
      <c r="E112" s="214"/>
      <c r="F112" s="215"/>
      <c r="G112" s="197"/>
      <c r="H112" s="197"/>
      <c r="I112" s="197"/>
      <c r="J112" s="197"/>
      <c r="K112" s="197"/>
      <c r="L112" s="197"/>
      <c r="M112" s="197"/>
      <c r="N112" s="197"/>
      <c r="O112" s="197"/>
      <c r="P112" s="197"/>
      <c r="Q112" s="197"/>
      <c r="R112" s="197"/>
      <c r="S112" s="128">
        <f t="shared" si="39"/>
        <v>0</v>
      </c>
    </row>
    <row r="113" spans="1:23" hidden="1" outlineLevel="1" x14ac:dyDescent="0.3">
      <c r="A113" s="103">
        <v>30000</v>
      </c>
      <c r="B113" s="216" t="s">
        <v>3</v>
      </c>
      <c r="C113" s="217"/>
      <c r="D113" s="213"/>
      <c r="E113" s="214"/>
      <c r="F113" s="215"/>
      <c r="G113" s="197"/>
      <c r="H113" s="197"/>
      <c r="I113" s="197"/>
      <c r="J113" s="197"/>
      <c r="K113" s="197"/>
      <c r="L113" s="197"/>
      <c r="M113" s="197"/>
      <c r="N113" s="197"/>
      <c r="O113" s="197"/>
      <c r="P113" s="197"/>
      <c r="Q113" s="197"/>
      <c r="R113" s="197"/>
      <c r="S113" s="128">
        <f t="shared" si="39"/>
        <v>0</v>
      </c>
    </row>
    <row r="114" spans="1:23" hidden="1" outlineLevel="1" x14ac:dyDescent="0.3">
      <c r="A114" s="103">
        <v>66000</v>
      </c>
      <c r="B114" s="216" t="s">
        <v>1</v>
      </c>
      <c r="C114" s="217"/>
      <c r="D114" s="213"/>
      <c r="E114" s="214"/>
      <c r="F114" s="215"/>
      <c r="G114" s="197"/>
      <c r="H114" s="197"/>
      <c r="I114" s="197"/>
      <c r="J114" s="197"/>
      <c r="K114" s="197"/>
      <c r="L114" s="197"/>
      <c r="M114" s="197"/>
      <c r="N114" s="197"/>
      <c r="O114" s="197"/>
      <c r="P114" s="197"/>
      <c r="Q114" s="197"/>
      <c r="R114" s="197"/>
      <c r="S114" s="128">
        <f t="shared" si="39"/>
        <v>0</v>
      </c>
    </row>
    <row r="115" spans="1:23" ht="18.75" customHeight="1" collapsed="1" x14ac:dyDescent="0.3">
      <c r="A115" s="107"/>
      <c r="B115" s="211" t="s">
        <v>116</v>
      </c>
      <c r="C115" s="212"/>
      <c r="D115" s="191">
        <f>SUM(D107:F114)</f>
        <v>0</v>
      </c>
      <c r="E115" s="191"/>
      <c r="F115" s="191"/>
      <c r="G115" s="191">
        <f>SUM(G107:I114)</f>
        <v>0</v>
      </c>
      <c r="H115" s="191"/>
      <c r="I115" s="191"/>
      <c r="J115" s="191">
        <f>SUM(J107:L114)</f>
        <v>0</v>
      </c>
      <c r="K115" s="191"/>
      <c r="L115" s="191"/>
      <c r="M115" s="191">
        <f>SUM(M107:O114)</f>
        <v>0</v>
      </c>
      <c r="N115" s="191"/>
      <c r="O115" s="191"/>
      <c r="P115" s="191">
        <f>SUM(P107:R114)</f>
        <v>0</v>
      </c>
      <c r="Q115" s="191"/>
      <c r="R115" s="191"/>
      <c r="S115" s="117">
        <f>SUM(S107:S114)</f>
        <v>0</v>
      </c>
    </row>
    <row r="116" spans="1:23" ht="9.75" customHeight="1" x14ac:dyDescent="0.3"/>
    <row r="117" spans="1:23" ht="24.75" customHeight="1" thickBot="1" x14ac:dyDescent="0.35">
      <c r="A117" s="102"/>
      <c r="B117" s="188" t="s">
        <v>124</v>
      </c>
      <c r="C117" s="189"/>
      <c r="D117" s="188">
        <f>D33+D97+D115</f>
        <v>0</v>
      </c>
      <c r="E117" s="189"/>
      <c r="F117" s="190"/>
      <c r="G117" s="188">
        <f>G33+G97+G115</f>
        <v>0</v>
      </c>
      <c r="H117" s="189"/>
      <c r="I117" s="190"/>
      <c r="J117" s="188">
        <f>J33+J97+J115</f>
        <v>0</v>
      </c>
      <c r="K117" s="189"/>
      <c r="L117" s="190"/>
      <c r="M117" s="188">
        <f>M33+M97+M115</f>
        <v>0</v>
      </c>
      <c r="N117" s="189"/>
      <c r="O117" s="190"/>
      <c r="P117" s="188">
        <f>P33+P97+P115</f>
        <v>0</v>
      </c>
      <c r="Q117" s="189"/>
      <c r="R117" s="190"/>
      <c r="S117" s="130">
        <f>S33+S97+S115</f>
        <v>0</v>
      </c>
      <c r="T117" s="15"/>
    </row>
    <row r="118" spans="1:23" ht="13.3" thickTop="1" x14ac:dyDescent="0.3"/>
    <row r="119" spans="1:23" ht="15.9" x14ac:dyDescent="0.3">
      <c r="A119" s="13"/>
      <c r="C119" s="12"/>
      <c r="D119" s="12"/>
      <c r="E119" s="14"/>
      <c r="F119" s="12"/>
      <c r="G119" s="12"/>
      <c r="H119" s="14"/>
      <c r="I119" s="12"/>
      <c r="J119" s="12"/>
      <c r="K119" s="14"/>
      <c r="L119" s="12"/>
      <c r="M119" s="12"/>
      <c r="N119" s="14"/>
      <c r="O119" s="12"/>
      <c r="P119" s="56" t="s">
        <v>75</v>
      </c>
      <c r="Q119" s="14"/>
      <c r="R119" s="12"/>
      <c r="S119" s="83"/>
      <c r="T119" s="166"/>
    </row>
    <row r="120" spans="1:23" ht="15.9" x14ac:dyDescent="0.3">
      <c r="A120" s="13"/>
      <c r="C120" s="12"/>
      <c r="D120" s="12"/>
      <c r="E120" s="14"/>
      <c r="F120" s="12"/>
      <c r="G120" s="12"/>
      <c r="H120" s="14"/>
      <c r="I120" s="12"/>
      <c r="J120" s="12"/>
      <c r="K120" s="14"/>
      <c r="L120" s="12"/>
      <c r="M120" s="12"/>
      <c r="N120" s="14"/>
      <c r="O120" s="12"/>
      <c r="P120" s="56"/>
      <c r="Q120" s="14"/>
      <c r="R120" s="12"/>
      <c r="S120" s="136"/>
      <c r="T120" s="5"/>
    </row>
    <row r="121" spans="1:23" ht="15.9" x14ac:dyDescent="0.3">
      <c r="A121" s="13"/>
      <c r="B121" s="13" t="s">
        <v>17</v>
      </c>
      <c r="C121" s="12"/>
      <c r="D121" s="12"/>
      <c r="E121" s="14"/>
      <c r="F121" s="12"/>
      <c r="G121" s="12"/>
      <c r="H121" s="14"/>
      <c r="I121" s="12"/>
      <c r="J121" s="12"/>
      <c r="K121" s="14"/>
      <c r="L121" s="12"/>
      <c r="M121" s="12"/>
      <c r="N121" s="14"/>
      <c r="O121" s="12"/>
      <c r="P121" s="56"/>
      <c r="Q121" s="14"/>
      <c r="R121" s="136"/>
      <c r="S121" s="136"/>
      <c r="T121" s="136"/>
      <c r="U121" s="136"/>
      <c r="V121" s="136"/>
      <c r="W121" s="136"/>
    </row>
    <row r="122" spans="1:23" s="15" customFormat="1" x14ac:dyDescent="0.3">
      <c r="A122" s="100"/>
      <c r="B122" s="132" t="s">
        <v>131</v>
      </c>
      <c r="C122" s="133"/>
      <c r="D122" s="132" t="s">
        <v>119</v>
      </c>
      <c r="E122" s="132"/>
      <c r="F122" s="134"/>
      <c r="G122" s="134"/>
      <c r="H122" s="135"/>
      <c r="I122" s="134"/>
      <c r="J122" s="134"/>
      <c r="K122" s="135"/>
      <c r="L122" s="134"/>
      <c r="M122" s="134"/>
      <c r="N122" s="135"/>
      <c r="O122" s="134"/>
      <c r="P122" s="134"/>
      <c r="Q122" s="135"/>
      <c r="R122" s="136"/>
      <c r="S122" s="136"/>
      <c r="T122" s="136"/>
      <c r="U122" s="136"/>
      <c r="V122" s="136"/>
      <c r="W122" s="136"/>
    </row>
    <row r="123" spans="1:23" s="15" customFormat="1" x14ac:dyDescent="0.3">
      <c r="A123" s="100"/>
      <c r="B123" s="201" t="s">
        <v>136</v>
      </c>
      <c r="C123" s="201"/>
      <c r="D123" s="201"/>
      <c r="E123" s="201"/>
      <c r="F123" s="201"/>
      <c r="G123" s="201"/>
      <c r="H123" s="201"/>
      <c r="I123" s="201"/>
      <c r="J123" s="201"/>
      <c r="K123" s="201"/>
      <c r="L123" s="201"/>
      <c r="M123" s="201"/>
      <c r="N123" s="201"/>
      <c r="O123" s="201"/>
      <c r="P123" s="201"/>
      <c r="Q123" s="201"/>
      <c r="R123" s="201"/>
      <c r="S123" s="201"/>
    </row>
    <row r="124" spans="1:23" s="15" customFormat="1" x14ac:dyDescent="0.3">
      <c r="A124" s="100"/>
      <c r="B124" s="201" t="s">
        <v>132</v>
      </c>
      <c r="C124" s="201"/>
      <c r="D124" s="201"/>
      <c r="E124" s="201"/>
      <c r="F124" s="201"/>
      <c r="G124" s="201"/>
      <c r="H124" s="201"/>
      <c r="I124" s="201"/>
      <c r="J124" s="201"/>
      <c r="K124" s="201"/>
      <c r="L124" s="201"/>
      <c r="M124" s="201"/>
      <c r="N124" s="201"/>
      <c r="O124" s="201"/>
      <c r="P124" s="201"/>
      <c r="Q124" s="201"/>
      <c r="R124" s="201"/>
      <c r="S124" s="201"/>
    </row>
    <row r="125" spans="1:23" s="15" customFormat="1" x14ac:dyDescent="0.3">
      <c r="A125" s="100"/>
      <c r="B125" s="201" t="s">
        <v>133</v>
      </c>
      <c r="C125" s="201"/>
      <c r="D125" s="201"/>
      <c r="E125" s="201"/>
      <c r="F125" s="201"/>
      <c r="G125" s="201"/>
      <c r="H125" s="201"/>
      <c r="I125" s="201"/>
      <c r="J125" s="201"/>
      <c r="K125" s="201"/>
      <c r="L125" s="201"/>
      <c r="M125" s="201"/>
      <c r="N125" s="201"/>
      <c r="O125" s="201"/>
      <c r="P125" s="201"/>
      <c r="Q125" s="201"/>
      <c r="R125" s="201"/>
      <c r="S125" s="201"/>
    </row>
    <row r="126" spans="1:23" s="15" customFormat="1" x14ac:dyDescent="0.3">
      <c r="A126" s="100"/>
      <c r="B126" s="201" t="s">
        <v>134</v>
      </c>
      <c r="C126" s="201"/>
      <c r="D126" s="201"/>
      <c r="E126" s="201"/>
      <c r="F126" s="201"/>
      <c r="G126" s="201"/>
      <c r="H126" s="201"/>
      <c r="I126" s="201"/>
      <c r="J126" s="201"/>
      <c r="K126" s="201"/>
      <c r="L126" s="201"/>
      <c r="M126" s="201"/>
      <c r="N126" s="201"/>
      <c r="O126" s="201"/>
      <c r="P126" s="201"/>
      <c r="Q126" s="201"/>
      <c r="R126" s="201"/>
      <c r="S126" s="201"/>
    </row>
    <row r="127" spans="1:23" s="15" customFormat="1" x14ac:dyDescent="0.3">
      <c r="A127" s="100"/>
      <c r="B127" s="201" t="s">
        <v>135</v>
      </c>
      <c r="C127" s="201"/>
      <c r="D127" s="201"/>
      <c r="E127" s="201"/>
      <c r="F127" s="201"/>
      <c r="G127" s="201"/>
      <c r="H127" s="201"/>
      <c r="I127" s="201"/>
      <c r="J127" s="201"/>
      <c r="K127" s="201"/>
      <c r="L127" s="201"/>
      <c r="M127" s="201"/>
      <c r="N127" s="201"/>
      <c r="O127" s="201"/>
      <c r="P127" s="201"/>
      <c r="Q127" s="201"/>
      <c r="R127" s="201"/>
      <c r="S127" s="201"/>
    </row>
    <row r="128" spans="1:23" x14ac:dyDescent="0.3">
      <c r="I128" s="15"/>
      <c r="J128" s="15"/>
    </row>
    <row r="129" spans="4:8" ht="13.95" hidden="1" customHeight="1" outlineLevel="1" x14ac:dyDescent="0.3"/>
    <row r="130" spans="4:8" ht="13.95" hidden="1" customHeight="1" outlineLevel="1" x14ac:dyDescent="0.3">
      <c r="D130" s="198" t="s">
        <v>62</v>
      </c>
      <c r="E130" s="198"/>
      <c r="F130" s="198"/>
      <c r="G130" s="198"/>
      <c r="H130" s="198"/>
    </row>
    <row r="131" spans="4:8" ht="13.95" hidden="1" customHeight="1" outlineLevel="1" x14ac:dyDescent="0.3">
      <c r="D131" s="55" t="s">
        <v>65</v>
      </c>
      <c r="E131" s="199" t="s">
        <v>67</v>
      </c>
      <c r="F131" s="200"/>
      <c r="G131" s="198" t="s">
        <v>66</v>
      </c>
      <c r="H131" s="198"/>
    </row>
    <row r="132" spans="4:8" ht="13.95" hidden="1" customHeight="1" outlineLevel="1" x14ac:dyDescent="0.3">
      <c r="D132" s="16" t="s">
        <v>208</v>
      </c>
      <c r="E132" s="17"/>
      <c r="F132" s="43">
        <v>3.1E-2</v>
      </c>
      <c r="G132" s="186">
        <f>(100+F132*100)/100</f>
        <v>1.0309999999999999</v>
      </c>
      <c r="H132" s="186"/>
    </row>
    <row r="133" spans="4:8" ht="13.95" hidden="1" customHeight="1" outlineLevel="1" x14ac:dyDescent="0.3">
      <c r="D133" s="16" t="s">
        <v>221</v>
      </c>
      <c r="E133" s="17"/>
      <c r="F133" s="43">
        <v>0.03</v>
      </c>
      <c r="G133" s="186">
        <f>(100+F133*100)/100</f>
        <v>1.03</v>
      </c>
      <c r="H133" s="186"/>
    </row>
    <row r="134" spans="4:8" ht="13.95" hidden="1" customHeight="1" outlineLevel="1" x14ac:dyDescent="0.3">
      <c r="D134" s="16" t="s">
        <v>222</v>
      </c>
      <c r="E134" s="17"/>
      <c r="F134" s="43">
        <v>0.03</v>
      </c>
      <c r="G134" s="186">
        <f>(100+F134*100)/100</f>
        <v>1.03</v>
      </c>
      <c r="H134" s="186"/>
    </row>
    <row r="135" spans="4:8" ht="13.95" hidden="1" customHeight="1" outlineLevel="1" x14ac:dyDescent="0.3">
      <c r="D135" s="16" t="s">
        <v>223</v>
      </c>
      <c r="E135" s="17"/>
      <c r="F135" s="43">
        <v>0.03</v>
      </c>
      <c r="G135" s="186">
        <f>(100+F135*100)/100</f>
        <v>1.03</v>
      </c>
      <c r="H135" s="186"/>
    </row>
    <row r="136" spans="4:8" collapsed="1" x14ac:dyDescent="0.3">
      <c r="D136" s="18"/>
      <c r="E136" s="19"/>
      <c r="F136" s="18"/>
      <c r="G136" s="18"/>
    </row>
    <row r="137" spans="4:8" x14ac:dyDescent="0.3">
      <c r="D137" s="18"/>
      <c r="E137" s="19"/>
      <c r="F137" s="18"/>
      <c r="G137" s="18"/>
    </row>
    <row r="138" spans="4:8" x14ac:dyDescent="0.3">
      <c r="D138" s="18"/>
      <c r="E138" s="19"/>
      <c r="F138" s="18"/>
      <c r="G138" s="18"/>
    </row>
    <row r="139" spans="4:8" x14ac:dyDescent="0.3">
      <c r="D139" s="18"/>
      <c r="E139" s="19"/>
      <c r="F139" s="18"/>
      <c r="G139" s="18"/>
    </row>
  </sheetData>
  <sheetProtection selectLockedCells="1"/>
  <sortState xmlns:xlrd2="http://schemas.microsoft.com/office/spreadsheetml/2017/richdata2" ref="A14:B15">
    <sortCondition descending="1" ref="A14"/>
  </sortState>
  <mergeCells count="154">
    <mergeCell ref="B33:C33"/>
    <mergeCell ref="G33:I33"/>
    <mergeCell ref="B87:C87"/>
    <mergeCell ref="D87:F87"/>
    <mergeCell ref="D35:F35"/>
    <mergeCell ref="D10:F10"/>
    <mergeCell ref="G35:I35"/>
    <mergeCell ref="J35:L35"/>
    <mergeCell ref="M35:O35"/>
    <mergeCell ref="B10:B11"/>
    <mergeCell ref="J87:L87"/>
    <mergeCell ref="M87:O87"/>
    <mergeCell ref="P35:R35"/>
    <mergeCell ref="G10:I10"/>
    <mergeCell ref="J10:L10"/>
    <mergeCell ref="M10:O10"/>
    <mergeCell ref="P10:R10"/>
    <mergeCell ref="J33:L33"/>
    <mergeCell ref="M33:O33"/>
    <mergeCell ref="P33:R33"/>
    <mergeCell ref="D33:F33"/>
    <mergeCell ref="M97:O97"/>
    <mergeCell ref="P97:R97"/>
    <mergeCell ref="S99:S100"/>
    <mergeCell ref="B99:C100"/>
    <mergeCell ref="D99:F99"/>
    <mergeCell ref="G99:I99"/>
    <mergeCell ref="J99:L99"/>
    <mergeCell ref="D100:F100"/>
    <mergeCell ref="G100:I100"/>
    <mergeCell ref="J100:L100"/>
    <mergeCell ref="M100:O100"/>
    <mergeCell ref="P100:R100"/>
    <mergeCell ref="D97:F97"/>
    <mergeCell ref="B97:C97"/>
    <mergeCell ref="B102:C102"/>
    <mergeCell ref="D101:F101"/>
    <mergeCell ref="D102:F102"/>
    <mergeCell ref="D103:F103"/>
    <mergeCell ref="D104:F104"/>
    <mergeCell ref="D105:F105"/>
    <mergeCell ref="G97:I97"/>
    <mergeCell ref="J97:L97"/>
    <mergeCell ref="J105:L105"/>
    <mergeCell ref="F4:N4"/>
    <mergeCell ref="F6:N6"/>
    <mergeCell ref="D117:F117"/>
    <mergeCell ref="B117:C117"/>
    <mergeCell ref="B115:C115"/>
    <mergeCell ref="D108:F108"/>
    <mergeCell ref="D106:F106"/>
    <mergeCell ref="D107:F107"/>
    <mergeCell ref="D109:F109"/>
    <mergeCell ref="D110:F110"/>
    <mergeCell ref="D111:F111"/>
    <mergeCell ref="D112:F112"/>
    <mergeCell ref="D113:F113"/>
    <mergeCell ref="D114:F114"/>
    <mergeCell ref="B108:C108"/>
    <mergeCell ref="B109:C109"/>
    <mergeCell ref="B110:C110"/>
    <mergeCell ref="B111:C111"/>
    <mergeCell ref="B112:C112"/>
    <mergeCell ref="B113:C113"/>
    <mergeCell ref="B114:C114"/>
    <mergeCell ref="D115:F115"/>
    <mergeCell ref="B101:C101"/>
    <mergeCell ref="G87:I87"/>
    <mergeCell ref="A10:A11"/>
    <mergeCell ref="M112:O112"/>
    <mergeCell ref="M113:O113"/>
    <mergeCell ref="M114:O114"/>
    <mergeCell ref="M102:O102"/>
    <mergeCell ref="M104:O104"/>
    <mergeCell ref="M105:O105"/>
    <mergeCell ref="G108:I108"/>
    <mergeCell ref="G109:I109"/>
    <mergeCell ref="J112:L112"/>
    <mergeCell ref="J113:L113"/>
    <mergeCell ref="J114:L114"/>
    <mergeCell ref="M109:O109"/>
    <mergeCell ref="M110:O110"/>
    <mergeCell ref="M111:O111"/>
    <mergeCell ref="G107:I107"/>
    <mergeCell ref="G104:I104"/>
    <mergeCell ref="G105:I105"/>
    <mergeCell ref="G106:I106"/>
    <mergeCell ref="A35:A36"/>
    <mergeCell ref="B35:B36"/>
    <mergeCell ref="C35:C36"/>
    <mergeCell ref="A99:A100"/>
    <mergeCell ref="C10:C11"/>
    <mergeCell ref="S10:S11"/>
    <mergeCell ref="M99:O99"/>
    <mergeCell ref="P99:R99"/>
    <mergeCell ref="G101:I101"/>
    <mergeCell ref="P108:R108"/>
    <mergeCell ref="P109:R109"/>
    <mergeCell ref="P110:R110"/>
    <mergeCell ref="P111:R111"/>
    <mergeCell ref="G103:I103"/>
    <mergeCell ref="J103:L103"/>
    <mergeCell ref="M103:O103"/>
    <mergeCell ref="P103:R103"/>
    <mergeCell ref="G102:I102"/>
    <mergeCell ref="M101:O101"/>
    <mergeCell ref="J101:L101"/>
    <mergeCell ref="J102:L102"/>
    <mergeCell ref="J106:L106"/>
    <mergeCell ref="P101:R101"/>
    <mergeCell ref="P102:R102"/>
    <mergeCell ref="J108:L108"/>
    <mergeCell ref="J109:L109"/>
    <mergeCell ref="J110:L110"/>
    <mergeCell ref="J111:L111"/>
    <mergeCell ref="M108:O108"/>
    <mergeCell ref="G131:H131"/>
    <mergeCell ref="E131:F131"/>
    <mergeCell ref="G110:I110"/>
    <mergeCell ref="G111:I111"/>
    <mergeCell ref="G112:I112"/>
    <mergeCell ref="G113:I113"/>
    <mergeCell ref="G114:I114"/>
    <mergeCell ref="G117:I117"/>
    <mergeCell ref="G115:I115"/>
    <mergeCell ref="B124:S124"/>
    <mergeCell ref="B125:S125"/>
    <mergeCell ref="B126:S126"/>
    <mergeCell ref="B127:S127"/>
    <mergeCell ref="B123:S123"/>
    <mergeCell ref="P87:R87"/>
    <mergeCell ref="G135:H135"/>
    <mergeCell ref="S35:S36"/>
    <mergeCell ref="J117:L117"/>
    <mergeCell ref="M117:O117"/>
    <mergeCell ref="P117:R117"/>
    <mergeCell ref="J115:L115"/>
    <mergeCell ref="M115:O115"/>
    <mergeCell ref="P115:R115"/>
    <mergeCell ref="M106:O106"/>
    <mergeCell ref="P104:R104"/>
    <mergeCell ref="P105:R105"/>
    <mergeCell ref="P106:R106"/>
    <mergeCell ref="J107:L107"/>
    <mergeCell ref="M107:O107"/>
    <mergeCell ref="P107:R107"/>
    <mergeCell ref="P112:R112"/>
    <mergeCell ref="P113:R113"/>
    <mergeCell ref="P114:R114"/>
    <mergeCell ref="J104:L104"/>
    <mergeCell ref="D130:H130"/>
    <mergeCell ref="G132:H132"/>
    <mergeCell ref="G133:H133"/>
    <mergeCell ref="G134:H134"/>
  </mergeCells>
  <phoneticPr fontId="3" type="noConversion"/>
  <printOptions horizontalCentered="1"/>
  <pageMargins left="0.19685039370078741" right="0.19685039370078741" top="0.59055118110236227" bottom="0.59055118110236227" header="0" footer="0"/>
  <pageSetup paperSize="9" scale="71" orientation="landscape" r:id="rId1"/>
  <headerFooter alignWithMargins="0">
    <oddHeader>&amp;C&amp;"Arial,Fett"&amp;12Kostenplan&amp;R&amp;G</oddHeader>
    <oddFooter>&amp;L&amp;8DLE Finanzwesen und Controlling
A-1010 Wien • Universitätsring 1&amp;C&amp;8Ausdruck am: &amp;D, &amp;T&amp;R&amp;8S. &amp;P/&amp;N</oddFooter>
  </headerFooter>
  <customProperties>
    <customPr name="_pios_id" r:id="rId2"/>
  </customProperties>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J66"/>
  <sheetViews>
    <sheetView showGridLines="0" topLeftCell="B10" zoomScaleNormal="100" workbookViewId="0">
      <selection activeCell="G34" sqref="G34"/>
    </sheetView>
  </sheetViews>
  <sheetFormatPr baseColWidth="10" defaultRowHeight="12.9" outlineLevelRow="1" outlineLevelCol="2" x14ac:dyDescent="0.35"/>
  <cols>
    <col min="1" max="1" width="9.23046875" style="26" bestFit="1" customWidth="1"/>
    <col min="2" max="2" width="35.69140625" style="26" bestFit="1" customWidth="1"/>
    <col min="3" max="3" width="32.69140625" style="26" customWidth="1"/>
    <col min="4" max="4" width="17.84375" style="41" bestFit="1" customWidth="1"/>
    <col min="5" max="5" width="8.69140625" style="42" customWidth="1"/>
    <col min="6" max="6" width="68.69140625" style="26" customWidth="1"/>
    <col min="7" max="7" width="43" style="155" customWidth="1" outlineLevel="2"/>
    <col min="8" max="8" width="12.84375" style="79" customWidth="1" outlineLevel="2"/>
    <col min="9" max="9" width="5" style="79" customWidth="1" outlineLevel="2"/>
    <col min="10" max="10" width="11.53515625" style="79" customWidth="1" outlineLevel="1"/>
    <col min="11" max="250" width="11.23046875" style="79"/>
    <col min="251" max="251" width="8.69140625" style="79" customWidth="1"/>
    <col min="252" max="252" width="33.69140625" style="79" customWidth="1"/>
    <col min="253" max="253" width="11.23046875" style="79" customWidth="1"/>
    <col min="254" max="254" width="13.23046875" style="79" customWidth="1"/>
    <col min="255" max="255" width="7" style="79" customWidth="1"/>
    <col min="256" max="256" width="11.23046875" style="79"/>
    <col min="257" max="257" width="9.84375" style="79" customWidth="1"/>
    <col min="258" max="506" width="11.23046875" style="79"/>
    <col min="507" max="507" width="8.69140625" style="79" customWidth="1"/>
    <col min="508" max="508" width="33.69140625" style="79" customWidth="1"/>
    <col min="509" max="509" width="11.23046875" style="79" customWidth="1"/>
    <col min="510" max="510" width="13.23046875" style="79" customWidth="1"/>
    <col min="511" max="511" width="7" style="79" customWidth="1"/>
    <col min="512" max="512" width="11.23046875" style="79"/>
    <col min="513" max="513" width="9.84375" style="79" customWidth="1"/>
    <col min="514" max="762" width="11.23046875" style="79"/>
    <col min="763" max="763" width="8.69140625" style="79" customWidth="1"/>
    <col min="764" max="764" width="33.69140625" style="79" customWidth="1"/>
    <col min="765" max="765" width="11.23046875" style="79" customWidth="1"/>
    <col min="766" max="766" width="13.23046875" style="79" customWidth="1"/>
    <col min="767" max="767" width="7" style="79" customWidth="1"/>
    <col min="768" max="768" width="11.23046875" style="79"/>
    <col min="769" max="769" width="9.84375" style="79" customWidth="1"/>
    <col min="770" max="1018" width="11.23046875" style="79"/>
    <col min="1019" max="1019" width="8.69140625" style="79" customWidth="1"/>
    <col min="1020" max="1020" width="33.69140625" style="79" customWidth="1"/>
    <col min="1021" max="1021" width="11.23046875" style="79" customWidth="1"/>
    <col min="1022" max="1022" width="13.23046875" style="79" customWidth="1"/>
    <col min="1023" max="1023" width="7" style="79" customWidth="1"/>
    <col min="1024" max="1024" width="11.23046875" style="79"/>
    <col min="1025" max="1025" width="9.84375" style="79" customWidth="1"/>
    <col min="1026" max="1274" width="11.23046875" style="79"/>
    <col min="1275" max="1275" width="8.69140625" style="79" customWidth="1"/>
    <col min="1276" max="1276" width="33.69140625" style="79" customWidth="1"/>
    <col min="1277" max="1277" width="11.23046875" style="79" customWidth="1"/>
    <col min="1278" max="1278" width="13.23046875" style="79" customWidth="1"/>
    <col min="1279" max="1279" width="7" style="79" customWidth="1"/>
    <col min="1280" max="1280" width="11.23046875" style="79"/>
    <col min="1281" max="1281" width="9.84375" style="79" customWidth="1"/>
    <col min="1282" max="1530" width="11.23046875" style="79"/>
    <col min="1531" max="1531" width="8.69140625" style="79" customWidth="1"/>
    <col min="1532" max="1532" width="33.69140625" style="79" customWidth="1"/>
    <col min="1533" max="1533" width="11.23046875" style="79" customWidth="1"/>
    <col min="1534" max="1534" width="13.23046875" style="79" customWidth="1"/>
    <col min="1535" max="1535" width="7" style="79" customWidth="1"/>
    <col min="1536" max="1536" width="11.23046875" style="79"/>
    <col min="1537" max="1537" width="9.84375" style="79" customWidth="1"/>
    <col min="1538" max="1786" width="11.23046875" style="79"/>
    <col min="1787" max="1787" width="8.69140625" style="79" customWidth="1"/>
    <col min="1788" max="1788" width="33.69140625" style="79" customWidth="1"/>
    <col min="1789" max="1789" width="11.23046875" style="79" customWidth="1"/>
    <col min="1790" max="1790" width="13.23046875" style="79" customWidth="1"/>
    <col min="1791" max="1791" width="7" style="79" customWidth="1"/>
    <col min="1792" max="1792" width="11.23046875" style="79"/>
    <col min="1793" max="1793" width="9.84375" style="79" customWidth="1"/>
    <col min="1794" max="2042" width="11.23046875" style="79"/>
    <col min="2043" max="2043" width="8.69140625" style="79" customWidth="1"/>
    <col min="2044" max="2044" width="33.69140625" style="79" customWidth="1"/>
    <col min="2045" max="2045" width="11.23046875" style="79" customWidth="1"/>
    <col min="2046" max="2046" width="13.23046875" style="79" customWidth="1"/>
    <col min="2047" max="2047" width="7" style="79" customWidth="1"/>
    <col min="2048" max="2048" width="11.23046875" style="79"/>
    <col min="2049" max="2049" width="9.84375" style="79" customWidth="1"/>
    <col min="2050" max="2298" width="11.23046875" style="79"/>
    <col min="2299" max="2299" width="8.69140625" style="79" customWidth="1"/>
    <col min="2300" max="2300" width="33.69140625" style="79" customWidth="1"/>
    <col min="2301" max="2301" width="11.23046875" style="79" customWidth="1"/>
    <col min="2302" max="2302" width="13.23046875" style="79" customWidth="1"/>
    <col min="2303" max="2303" width="7" style="79" customWidth="1"/>
    <col min="2304" max="2304" width="11.23046875" style="79"/>
    <col min="2305" max="2305" width="9.84375" style="79" customWidth="1"/>
    <col min="2306" max="2554" width="11.23046875" style="79"/>
    <col min="2555" max="2555" width="8.69140625" style="79" customWidth="1"/>
    <col min="2556" max="2556" width="33.69140625" style="79" customWidth="1"/>
    <col min="2557" max="2557" width="11.23046875" style="79" customWidth="1"/>
    <col min="2558" max="2558" width="13.23046875" style="79" customWidth="1"/>
    <col min="2559" max="2559" width="7" style="79" customWidth="1"/>
    <col min="2560" max="2560" width="11.23046875" style="79"/>
    <col min="2561" max="2561" width="9.84375" style="79" customWidth="1"/>
    <col min="2562" max="2810" width="11.23046875" style="79"/>
    <col min="2811" max="2811" width="8.69140625" style="79" customWidth="1"/>
    <col min="2812" max="2812" width="33.69140625" style="79" customWidth="1"/>
    <col min="2813" max="2813" width="11.23046875" style="79" customWidth="1"/>
    <col min="2814" max="2814" width="13.23046875" style="79" customWidth="1"/>
    <col min="2815" max="2815" width="7" style="79" customWidth="1"/>
    <col min="2816" max="2816" width="11.23046875" style="79"/>
    <col min="2817" max="2817" width="9.84375" style="79" customWidth="1"/>
    <col min="2818" max="3066" width="11.23046875" style="79"/>
    <col min="3067" max="3067" width="8.69140625" style="79" customWidth="1"/>
    <col min="3068" max="3068" width="33.69140625" style="79" customWidth="1"/>
    <col min="3069" max="3069" width="11.23046875" style="79" customWidth="1"/>
    <col min="3070" max="3070" width="13.23046875" style="79" customWidth="1"/>
    <col min="3071" max="3071" width="7" style="79" customWidth="1"/>
    <col min="3072" max="3072" width="11.23046875" style="79"/>
    <col min="3073" max="3073" width="9.84375" style="79" customWidth="1"/>
    <col min="3074" max="3322" width="11.23046875" style="79"/>
    <col min="3323" max="3323" width="8.69140625" style="79" customWidth="1"/>
    <col min="3324" max="3324" width="33.69140625" style="79" customWidth="1"/>
    <col min="3325" max="3325" width="11.23046875" style="79" customWidth="1"/>
    <col min="3326" max="3326" width="13.23046875" style="79" customWidth="1"/>
    <col min="3327" max="3327" width="7" style="79" customWidth="1"/>
    <col min="3328" max="3328" width="11.23046875" style="79"/>
    <col min="3329" max="3329" width="9.84375" style="79" customWidth="1"/>
    <col min="3330" max="3578" width="11.23046875" style="79"/>
    <col min="3579" max="3579" width="8.69140625" style="79" customWidth="1"/>
    <col min="3580" max="3580" width="33.69140625" style="79" customWidth="1"/>
    <col min="3581" max="3581" width="11.23046875" style="79" customWidth="1"/>
    <col min="3582" max="3582" width="13.23046875" style="79" customWidth="1"/>
    <col min="3583" max="3583" width="7" style="79" customWidth="1"/>
    <col min="3584" max="3584" width="11.23046875" style="79"/>
    <col min="3585" max="3585" width="9.84375" style="79" customWidth="1"/>
    <col min="3586" max="3834" width="11.23046875" style="79"/>
    <col min="3835" max="3835" width="8.69140625" style="79" customWidth="1"/>
    <col min="3836" max="3836" width="33.69140625" style="79" customWidth="1"/>
    <col min="3837" max="3837" width="11.23046875" style="79" customWidth="1"/>
    <col min="3838" max="3838" width="13.23046875" style="79" customWidth="1"/>
    <col min="3839" max="3839" width="7" style="79" customWidth="1"/>
    <col min="3840" max="3840" width="11.23046875" style="79"/>
    <col min="3841" max="3841" width="9.84375" style="79" customWidth="1"/>
    <col min="3842" max="4090" width="11.23046875" style="79"/>
    <col min="4091" max="4091" width="8.69140625" style="79" customWidth="1"/>
    <col min="4092" max="4092" width="33.69140625" style="79" customWidth="1"/>
    <col min="4093" max="4093" width="11.23046875" style="79" customWidth="1"/>
    <col min="4094" max="4094" width="13.23046875" style="79" customWidth="1"/>
    <col min="4095" max="4095" width="7" style="79" customWidth="1"/>
    <col min="4096" max="4096" width="11.23046875" style="79"/>
    <col min="4097" max="4097" width="9.84375" style="79" customWidth="1"/>
    <col min="4098" max="4346" width="11.23046875" style="79"/>
    <col min="4347" max="4347" width="8.69140625" style="79" customWidth="1"/>
    <col min="4348" max="4348" width="33.69140625" style="79" customWidth="1"/>
    <col min="4349" max="4349" width="11.23046875" style="79" customWidth="1"/>
    <col min="4350" max="4350" width="13.23046875" style="79" customWidth="1"/>
    <col min="4351" max="4351" width="7" style="79" customWidth="1"/>
    <col min="4352" max="4352" width="11.23046875" style="79"/>
    <col min="4353" max="4353" width="9.84375" style="79" customWidth="1"/>
    <col min="4354" max="4602" width="11.23046875" style="79"/>
    <col min="4603" max="4603" width="8.69140625" style="79" customWidth="1"/>
    <col min="4604" max="4604" width="33.69140625" style="79" customWidth="1"/>
    <col min="4605" max="4605" width="11.23046875" style="79" customWidth="1"/>
    <col min="4606" max="4606" width="13.23046875" style="79" customWidth="1"/>
    <col min="4607" max="4607" width="7" style="79" customWidth="1"/>
    <col min="4608" max="4608" width="11.23046875" style="79"/>
    <col min="4609" max="4609" width="9.84375" style="79" customWidth="1"/>
    <col min="4610" max="4858" width="11.23046875" style="79"/>
    <col min="4859" max="4859" width="8.69140625" style="79" customWidth="1"/>
    <col min="4860" max="4860" width="33.69140625" style="79" customWidth="1"/>
    <col min="4861" max="4861" width="11.23046875" style="79" customWidth="1"/>
    <col min="4862" max="4862" width="13.23046875" style="79" customWidth="1"/>
    <col min="4863" max="4863" width="7" style="79" customWidth="1"/>
    <col min="4864" max="4864" width="11.23046875" style="79"/>
    <col min="4865" max="4865" width="9.84375" style="79" customWidth="1"/>
    <col min="4866" max="5114" width="11.23046875" style="79"/>
    <col min="5115" max="5115" width="8.69140625" style="79" customWidth="1"/>
    <col min="5116" max="5116" width="33.69140625" style="79" customWidth="1"/>
    <col min="5117" max="5117" width="11.23046875" style="79" customWidth="1"/>
    <col min="5118" max="5118" width="13.23046875" style="79" customWidth="1"/>
    <col min="5119" max="5119" width="7" style="79" customWidth="1"/>
    <col min="5120" max="5120" width="11.23046875" style="79"/>
    <col min="5121" max="5121" width="9.84375" style="79" customWidth="1"/>
    <col min="5122" max="5370" width="11.23046875" style="79"/>
    <col min="5371" max="5371" width="8.69140625" style="79" customWidth="1"/>
    <col min="5372" max="5372" width="33.69140625" style="79" customWidth="1"/>
    <col min="5373" max="5373" width="11.23046875" style="79" customWidth="1"/>
    <col min="5374" max="5374" width="13.23046875" style="79" customWidth="1"/>
    <col min="5375" max="5375" width="7" style="79" customWidth="1"/>
    <col min="5376" max="5376" width="11.23046875" style="79"/>
    <col min="5377" max="5377" width="9.84375" style="79" customWidth="1"/>
    <col min="5378" max="5626" width="11.23046875" style="79"/>
    <col min="5627" max="5627" width="8.69140625" style="79" customWidth="1"/>
    <col min="5628" max="5628" width="33.69140625" style="79" customWidth="1"/>
    <col min="5629" max="5629" width="11.23046875" style="79" customWidth="1"/>
    <col min="5630" max="5630" width="13.23046875" style="79" customWidth="1"/>
    <col min="5631" max="5631" width="7" style="79" customWidth="1"/>
    <col min="5632" max="5632" width="11.23046875" style="79"/>
    <col min="5633" max="5633" width="9.84375" style="79" customWidth="1"/>
    <col min="5634" max="5882" width="11.23046875" style="79"/>
    <col min="5883" max="5883" width="8.69140625" style="79" customWidth="1"/>
    <col min="5884" max="5884" width="33.69140625" style="79" customWidth="1"/>
    <col min="5885" max="5885" width="11.23046875" style="79" customWidth="1"/>
    <col min="5886" max="5886" width="13.23046875" style="79" customWidth="1"/>
    <col min="5887" max="5887" width="7" style="79" customWidth="1"/>
    <col min="5888" max="5888" width="11.23046875" style="79"/>
    <col min="5889" max="5889" width="9.84375" style="79" customWidth="1"/>
    <col min="5890" max="6138" width="11.23046875" style="79"/>
    <col min="6139" max="6139" width="8.69140625" style="79" customWidth="1"/>
    <col min="6140" max="6140" width="33.69140625" style="79" customWidth="1"/>
    <col min="6141" max="6141" width="11.23046875" style="79" customWidth="1"/>
    <col min="6142" max="6142" width="13.23046875" style="79" customWidth="1"/>
    <col min="6143" max="6143" width="7" style="79" customWidth="1"/>
    <col min="6144" max="6144" width="11.23046875" style="79"/>
    <col min="6145" max="6145" width="9.84375" style="79" customWidth="1"/>
    <col min="6146" max="6394" width="11.23046875" style="79"/>
    <col min="6395" max="6395" width="8.69140625" style="79" customWidth="1"/>
    <col min="6396" max="6396" width="33.69140625" style="79" customWidth="1"/>
    <col min="6397" max="6397" width="11.23046875" style="79" customWidth="1"/>
    <col min="6398" max="6398" width="13.23046875" style="79" customWidth="1"/>
    <col min="6399" max="6399" width="7" style="79" customWidth="1"/>
    <col min="6400" max="6400" width="11.23046875" style="79"/>
    <col min="6401" max="6401" width="9.84375" style="79" customWidth="1"/>
    <col min="6402" max="6650" width="11.23046875" style="79"/>
    <col min="6651" max="6651" width="8.69140625" style="79" customWidth="1"/>
    <col min="6652" max="6652" width="33.69140625" style="79" customWidth="1"/>
    <col min="6653" max="6653" width="11.23046875" style="79" customWidth="1"/>
    <col min="6654" max="6654" width="13.23046875" style="79" customWidth="1"/>
    <col min="6655" max="6655" width="7" style="79" customWidth="1"/>
    <col min="6656" max="6656" width="11.23046875" style="79"/>
    <col min="6657" max="6657" width="9.84375" style="79" customWidth="1"/>
    <col min="6658" max="6906" width="11.23046875" style="79"/>
    <col min="6907" max="6907" width="8.69140625" style="79" customWidth="1"/>
    <col min="6908" max="6908" width="33.69140625" style="79" customWidth="1"/>
    <col min="6909" max="6909" width="11.23046875" style="79" customWidth="1"/>
    <col min="6910" max="6910" width="13.23046875" style="79" customWidth="1"/>
    <col min="6911" max="6911" width="7" style="79" customWidth="1"/>
    <col min="6912" max="6912" width="11.23046875" style="79"/>
    <col min="6913" max="6913" width="9.84375" style="79" customWidth="1"/>
    <col min="6914" max="7162" width="11.23046875" style="79"/>
    <col min="7163" max="7163" width="8.69140625" style="79" customWidth="1"/>
    <col min="7164" max="7164" width="33.69140625" style="79" customWidth="1"/>
    <col min="7165" max="7165" width="11.23046875" style="79" customWidth="1"/>
    <col min="7166" max="7166" width="13.23046875" style="79" customWidth="1"/>
    <col min="7167" max="7167" width="7" style="79" customWidth="1"/>
    <col min="7168" max="7168" width="11.23046875" style="79"/>
    <col min="7169" max="7169" width="9.84375" style="79" customWidth="1"/>
    <col min="7170" max="7418" width="11.23046875" style="79"/>
    <col min="7419" max="7419" width="8.69140625" style="79" customWidth="1"/>
    <col min="7420" max="7420" width="33.69140625" style="79" customWidth="1"/>
    <col min="7421" max="7421" width="11.23046875" style="79" customWidth="1"/>
    <col min="7422" max="7422" width="13.23046875" style="79" customWidth="1"/>
    <col min="7423" max="7423" width="7" style="79" customWidth="1"/>
    <col min="7424" max="7424" width="11.23046875" style="79"/>
    <col min="7425" max="7425" width="9.84375" style="79" customWidth="1"/>
    <col min="7426" max="7674" width="11.23046875" style="79"/>
    <col min="7675" max="7675" width="8.69140625" style="79" customWidth="1"/>
    <col min="7676" max="7676" width="33.69140625" style="79" customWidth="1"/>
    <col min="7677" max="7677" width="11.23046875" style="79" customWidth="1"/>
    <col min="7678" max="7678" width="13.23046875" style="79" customWidth="1"/>
    <col min="7679" max="7679" width="7" style="79" customWidth="1"/>
    <col min="7680" max="7680" width="11.23046875" style="79"/>
    <col min="7681" max="7681" width="9.84375" style="79" customWidth="1"/>
    <col min="7682" max="7930" width="11.23046875" style="79"/>
    <col min="7931" max="7931" width="8.69140625" style="79" customWidth="1"/>
    <col min="7932" max="7932" width="33.69140625" style="79" customWidth="1"/>
    <col min="7933" max="7933" width="11.23046875" style="79" customWidth="1"/>
    <col min="7934" max="7934" width="13.23046875" style="79" customWidth="1"/>
    <col min="7935" max="7935" width="7" style="79" customWidth="1"/>
    <col min="7936" max="7936" width="11.23046875" style="79"/>
    <col min="7937" max="7937" width="9.84375" style="79" customWidth="1"/>
    <col min="7938" max="8186" width="11.23046875" style="79"/>
    <col min="8187" max="8187" width="8.69140625" style="79" customWidth="1"/>
    <col min="8188" max="8188" width="33.69140625" style="79" customWidth="1"/>
    <col min="8189" max="8189" width="11.23046875" style="79" customWidth="1"/>
    <col min="8190" max="8190" width="13.23046875" style="79" customWidth="1"/>
    <col min="8191" max="8191" width="7" style="79" customWidth="1"/>
    <col min="8192" max="8192" width="11.23046875" style="79"/>
    <col min="8193" max="8193" width="9.84375" style="79" customWidth="1"/>
    <col min="8194" max="8442" width="11.23046875" style="79"/>
    <col min="8443" max="8443" width="8.69140625" style="79" customWidth="1"/>
    <col min="8444" max="8444" width="33.69140625" style="79" customWidth="1"/>
    <col min="8445" max="8445" width="11.23046875" style="79" customWidth="1"/>
    <col min="8446" max="8446" width="13.23046875" style="79" customWidth="1"/>
    <col min="8447" max="8447" width="7" style="79" customWidth="1"/>
    <col min="8448" max="8448" width="11.23046875" style="79"/>
    <col min="8449" max="8449" width="9.84375" style="79" customWidth="1"/>
    <col min="8450" max="8698" width="11.23046875" style="79"/>
    <col min="8699" max="8699" width="8.69140625" style="79" customWidth="1"/>
    <col min="8700" max="8700" width="33.69140625" style="79" customWidth="1"/>
    <col min="8701" max="8701" width="11.23046875" style="79" customWidth="1"/>
    <col min="8702" max="8702" width="13.23046875" style="79" customWidth="1"/>
    <col min="8703" max="8703" width="7" style="79" customWidth="1"/>
    <col min="8704" max="8704" width="11.23046875" style="79"/>
    <col min="8705" max="8705" width="9.84375" style="79" customWidth="1"/>
    <col min="8706" max="8954" width="11.23046875" style="79"/>
    <col min="8955" max="8955" width="8.69140625" style="79" customWidth="1"/>
    <col min="8956" max="8956" width="33.69140625" style="79" customWidth="1"/>
    <col min="8957" max="8957" width="11.23046875" style="79" customWidth="1"/>
    <col min="8958" max="8958" width="13.23046875" style="79" customWidth="1"/>
    <col min="8959" max="8959" width="7" style="79" customWidth="1"/>
    <col min="8960" max="8960" width="11.23046875" style="79"/>
    <col min="8961" max="8961" width="9.84375" style="79" customWidth="1"/>
    <col min="8962" max="9210" width="11.23046875" style="79"/>
    <col min="9211" max="9211" width="8.69140625" style="79" customWidth="1"/>
    <col min="9212" max="9212" width="33.69140625" style="79" customWidth="1"/>
    <col min="9213" max="9213" width="11.23046875" style="79" customWidth="1"/>
    <col min="9214" max="9214" width="13.23046875" style="79" customWidth="1"/>
    <col min="9215" max="9215" width="7" style="79" customWidth="1"/>
    <col min="9216" max="9216" width="11.23046875" style="79"/>
    <col min="9217" max="9217" width="9.84375" style="79" customWidth="1"/>
    <col min="9218" max="9466" width="11.23046875" style="79"/>
    <col min="9467" max="9467" width="8.69140625" style="79" customWidth="1"/>
    <col min="9468" max="9468" width="33.69140625" style="79" customWidth="1"/>
    <col min="9469" max="9469" width="11.23046875" style="79" customWidth="1"/>
    <col min="9470" max="9470" width="13.23046875" style="79" customWidth="1"/>
    <col min="9471" max="9471" width="7" style="79" customWidth="1"/>
    <col min="9472" max="9472" width="11.23046875" style="79"/>
    <col min="9473" max="9473" width="9.84375" style="79" customWidth="1"/>
    <col min="9474" max="9722" width="11.23046875" style="79"/>
    <col min="9723" max="9723" width="8.69140625" style="79" customWidth="1"/>
    <col min="9724" max="9724" width="33.69140625" style="79" customWidth="1"/>
    <col min="9725" max="9725" width="11.23046875" style="79" customWidth="1"/>
    <col min="9726" max="9726" width="13.23046875" style="79" customWidth="1"/>
    <col min="9727" max="9727" width="7" style="79" customWidth="1"/>
    <col min="9728" max="9728" width="11.23046875" style="79"/>
    <col min="9729" max="9729" width="9.84375" style="79" customWidth="1"/>
    <col min="9730" max="9978" width="11.23046875" style="79"/>
    <col min="9979" max="9979" width="8.69140625" style="79" customWidth="1"/>
    <col min="9980" max="9980" width="33.69140625" style="79" customWidth="1"/>
    <col min="9981" max="9981" width="11.23046875" style="79" customWidth="1"/>
    <col min="9982" max="9982" width="13.23046875" style="79" customWidth="1"/>
    <col min="9983" max="9983" width="7" style="79" customWidth="1"/>
    <col min="9984" max="9984" width="11.23046875" style="79"/>
    <col min="9985" max="9985" width="9.84375" style="79" customWidth="1"/>
    <col min="9986" max="10234" width="11.23046875" style="79"/>
    <col min="10235" max="10235" width="8.69140625" style="79" customWidth="1"/>
    <col min="10236" max="10236" width="33.69140625" style="79" customWidth="1"/>
    <col min="10237" max="10237" width="11.23046875" style="79" customWidth="1"/>
    <col min="10238" max="10238" width="13.23046875" style="79" customWidth="1"/>
    <col min="10239" max="10239" width="7" style="79" customWidth="1"/>
    <col min="10240" max="10240" width="11.23046875" style="79"/>
    <col min="10241" max="10241" width="9.84375" style="79" customWidth="1"/>
    <col min="10242" max="10490" width="11.23046875" style="79"/>
    <col min="10491" max="10491" width="8.69140625" style="79" customWidth="1"/>
    <col min="10492" max="10492" width="33.69140625" style="79" customWidth="1"/>
    <col min="10493" max="10493" width="11.23046875" style="79" customWidth="1"/>
    <col min="10494" max="10494" width="13.23046875" style="79" customWidth="1"/>
    <col min="10495" max="10495" width="7" style="79" customWidth="1"/>
    <col min="10496" max="10496" width="11.23046875" style="79"/>
    <col min="10497" max="10497" width="9.84375" style="79" customWidth="1"/>
    <col min="10498" max="10746" width="11.23046875" style="79"/>
    <col min="10747" max="10747" width="8.69140625" style="79" customWidth="1"/>
    <col min="10748" max="10748" width="33.69140625" style="79" customWidth="1"/>
    <col min="10749" max="10749" width="11.23046875" style="79" customWidth="1"/>
    <col min="10750" max="10750" width="13.23046875" style="79" customWidth="1"/>
    <col min="10751" max="10751" width="7" style="79" customWidth="1"/>
    <col min="10752" max="10752" width="11.23046875" style="79"/>
    <col min="10753" max="10753" width="9.84375" style="79" customWidth="1"/>
    <col min="10754" max="11002" width="11.23046875" style="79"/>
    <col min="11003" max="11003" width="8.69140625" style="79" customWidth="1"/>
    <col min="11004" max="11004" width="33.69140625" style="79" customWidth="1"/>
    <col min="11005" max="11005" width="11.23046875" style="79" customWidth="1"/>
    <col min="11006" max="11006" width="13.23046875" style="79" customWidth="1"/>
    <col min="11007" max="11007" width="7" style="79" customWidth="1"/>
    <col min="11008" max="11008" width="11.23046875" style="79"/>
    <col min="11009" max="11009" width="9.84375" style="79" customWidth="1"/>
    <col min="11010" max="11258" width="11.23046875" style="79"/>
    <col min="11259" max="11259" width="8.69140625" style="79" customWidth="1"/>
    <col min="11260" max="11260" width="33.69140625" style="79" customWidth="1"/>
    <col min="11261" max="11261" width="11.23046875" style="79" customWidth="1"/>
    <col min="11262" max="11262" width="13.23046875" style="79" customWidth="1"/>
    <col min="11263" max="11263" width="7" style="79" customWidth="1"/>
    <col min="11264" max="11264" width="11.23046875" style="79"/>
    <col min="11265" max="11265" width="9.84375" style="79" customWidth="1"/>
    <col min="11266" max="11514" width="11.23046875" style="79"/>
    <col min="11515" max="11515" width="8.69140625" style="79" customWidth="1"/>
    <col min="11516" max="11516" width="33.69140625" style="79" customWidth="1"/>
    <col min="11517" max="11517" width="11.23046875" style="79" customWidth="1"/>
    <col min="11518" max="11518" width="13.23046875" style="79" customWidth="1"/>
    <col min="11519" max="11519" width="7" style="79" customWidth="1"/>
    <col min="11520" max="11520" width="11.23046875" style="79"/>
    <col min="11521" max="11521" width="9.84375" style="79" customWidth="1"/>
    <col min="11522" max="11770" width="11.23046875" style="79"/>
    <col min="11771" max="11771" width="8.69140625" style="79" customWidth="1"/>
    <col min="11772" max="11772" width="33.69140625" style="79" customWidth="1"/>
    <col min="11773" max="11773" width="11.23046875" style="79" customWidth="1"/>
    <col min="11774" max="11774" width="13.23046875" style="79" customWidth="1"/>
    <col min="11775" max="11775" width="7" style="79" customWidth="1"/>
    <col min="11776" max="11776" width="11.23046875" style="79"/>
    <col min="11777" max="11777" width="9.84375" style="79" customWidth="1"/>
    <col min="11778" max="12026" width="11.23046875" style="79"/>
    <col min="12027" max="12027" width="8.69140625" style="79" customWidth="1"/>
    <col min="12028" max="12028" width="33.69140625" style="79" customWidth="1"/>
    <col min="12029" max="12029" width="11.23046875" style="79" customWidth="1"/>
    <col min="12030" max="12030" width="13.23046875" style="79" customWidth="1"/>
    <col min="12031" max="12031" width="7" style="79" customWidth="1"/>
    <col min="12032" max="12032" width="11.23046875" style="79"/>
    <col min="12033" max="12033" width="9.84375" style="79" customWidth="1"/>
    <col min="12034" max="12282" width="11.23046875" style="79"/>
    <col min="12283" max="12283" width="8.69140625" style="79" customWidth="1"/>
    <col min="12284" max="12284" width="33.69140625" style="79" customWidth="1"/>
    <col min="12285" max="12285" width="11.23046875" style="79" customWidth="1"/>
    <col min="12286" max="12286" width="13.23046875" style="79" customWidth="1"/>
    <col min="12287" max="12287" width="7" style="79" customWidth="1"/>
    <col min="12288" max="12288" width="11.23046875" style="79"/>
    <col min="12289" max="12289" width="9.84375" style="79" customWidth="1"/>
    <col min="12290" max="12538" width="11.23046875" style="79"/>
    <col min="12539" max="12539" width="8.69140625" style="79" customWidth="1"/>
    <col min="12540" max="12540" width="33.69140625" style="79" customWidth="1"/>
    <col min="12541" max="12541" width="11.23046875" style="79" customWidth="1"/>
    <col min="12542" max="12542" width="13.23046875" style="79" customWidth="1"/>
    <col min="12543" max="12543" width="7" style="79" customWidth="1"/>
    <col min="12544" max="12544" width="11.23046875" style="79"/>
    <col min="12545" max="12545" width="9.84375" style="79" customWidth="1"/>
    <col min="12546" max="12794" width="11.23046875" style="79"/>
    <col min="12795" max="12795" width="8.69140625" style="79" customWidth="1"/>
    <col min="12796" max="12796" width="33.69140625" style="79" customWidth="1"/>
    <col min="12797" max="12797" width="11.23046875" style="79" customWidth="1"/>
    <col min="12798" max="12798" width="13.23046875" style="79" customWidth="1"/>
    <col min="12799" max="12799" width="7" style="79" customWidth="1"/>
    <col min="12800" max="12800" width="11.23046875" style="79"/>
    <col min="12801" max="12801" width="9.84375" style="79" customWidth="1"/>
    <col min="12802" max="13050" width="11.23046875" style="79"/>
    <col min="13051" max="13051" width="8.69140625" style="79" customWidth="1"/>
    <col min="13052" max="13052" width="33.69140625" style="79" customWidth="1"/>
    <col min="13053" max="13053" width="11.23046875" style="79" customWidth="1"/>
    <col min="13054" max="13054" width="13.23046875" style="79" customWidth="1"/>
    <col min="13055" max="13055" width="7" style="79" customWidth="1"/>
    <col min="13056" max="13056" width="11.23046875" style="79"/>
    <col min="13057" max="13057" width="9.84375" style="79" customWidth="1"/>
    <col min="13058" max="13306" width="11.23046875" style="79"/>
    <col min="13307" max="13307" width="8.69140625" style="79" customWidth="1"/>
    <col min="13308" max="13308" width="33.69140625" style="79" customWidth="1"/>
    <col min="13309" max="13309" width="11.23046875" style="79" customWidth="1"/>
    <col min="13310" max="13310" width="13.23046875" style="79" customWidth="1"/>
    <col min="13311" max="13311" width="7" style="79" customWidth="1"/>
    <col min="13312" max="13312" width="11.23046875" style="79"/>
    <col min="13313" max="13313" width="9.84375" style="79" customWidth="1"/>
    <col min="13314" max="13562" width="11.23046875" style="79"/>
    <col min="13563" max="13563" width="8.69140625" style="79" customWidth="1"/>
    <col min="13564" max="13564" width="33.69140625" style="79" customWidth="1"/>
    <col min="13565" max="13565" width="11.23046875" style="79" customWidth="1"/>
    <col min="13566" max="13566" width="13.23046875" style="79" customWidth="1"/>
    <col min="13567" max="13567" width="7" style="79" customWidth="1"/>
    <col min="13568" max="13568" width="11.23046875" style="79"/>
    <col min="13569" max="13569" width="9.84375" style="79" customWidth="1"/>
    <col min="13570" max="13818" width="11.23046875" style="79"/>
    <col min="13819" max="13819" width="8.69140625" style="79" customWidth="1"/>
    <col min="13820" max="13820" width="33.69140625" style="79" customWidth="1"/>
    <col min="13821" max="13821" width="11.23046875" style="79" customWidth="1"/>
    <col min="13822" max="13822" width="13.23046875" style="79" customWidth="1"/>
    <col min="13823" max="13823" width="7" style="79" customWidth="1"/>
    <col min="13824" max="13824" width="11.23046875" style="79"/>
    <col min="13825" max="13825" width="9.84375" style="79" customWidth="1"/>
    <col min="13826" max="14074" width="11.23046875" style="79"/>
    <col min="14075" max="14075" width="8.69140625" style="79" customWidth="1"/>
    <col min="14076" max="14076" width="33.69140625" style="79" customWidth="1"/>
    <col min="14077" max="14077" width="11.23046875" style="79" customWidth="1"/>
    <col min="14078" max="14078" width="13.23046875" style="79" customWidth="1"/>
    <col min="14079" max="14079" width="7" style="79" customWidth="1"/>
    <col min="14080" max="14080" width="11.23046875" style="79"/>
    <col min="14081" max="14081" width="9.84375" style="79" customWidth="1"/>
    <col min="14082" max="14330" width="11.23046875" style="79"/>
    <col min="14331" max="14331" width="8.69140625" style="79" customWidth="1"/>
    <col min="14332" max="14332" width="33.69140625" style="79" customWidth="1"/>
    <col min="14333" max="14333" width="11.23046875" style="79" customWidth="1"/>
    <col min="14334" max="14334" width="13.23046875" style="79" customWidth="1"/>
    <col min="14335" max="14335" width="7" style="79" customWidth="1"/>
    <col min="14336" max="14336" width="11.23046875" style="79"/>
    <col min="14337" max="14337" width="9.84375" style="79" customWidth="1"/>
    <col min="14338" max="14586" width="11.23046875" style="79"/>
    <col min="14587" max="14587" width="8.69140625" style="79" customWidth="1"/>
    <col min="14588" max="14588" width="33.69140625" style="79" customWidth="1"/>
    <col min="14589" max="14589" width="11.23046875" style="79" customWidth="1"/>
    <col min="14590" max="14590" width="13.23046875" style="79" customWidth="1"/>
    <col min="14591" max="14591" width="7" style="79" customWidth="1"/>
    <col min="14592" max="14592" width="11.23046875" style="79"/>
    <col min="14593" max="14593" width="9.84375" style="79" customWidth="1"/>
    <col min="14594" max="14842" width="11.23046875" style="79"/>
    <col min="14843" max="14843" width="8.69140625" style="79" customWidth="1"/>
    <col min="14844" max="14844" width="33.69140625" style="79" customWidth="1"/>
    <col min="14845" max="14845" width="11.23046875" style="79" customWidth="1"/>
    <col min="14846" max="14846" width="13.23046875" style="79" customWidth="1"/>
    <col min="14847" max="14847" width="7" style="79" customWidth="1"/>
    <col min="14848" max="14848" width="11.23046875" style="79"/>
    <col min="14849" max="14849" width="9.84375" style="79" customWidth="1"/>
    <col min="14850" max="15098" width="11.23046875" style="79"/>
    <col min="15099" max="15099" width="8.69140625" style="79" customWidth="1"/>
    <col min="15100" max="15100" width="33.69140625" style="79" customWidth="1"/>
    <col min="15101" max="15101" width="11.23046875" style="79" customWidth="1"/>
    <col min="15102" max="15102" width="13.23046875" style="79" customWidth="1"/>
    <col min="15103" max="15103" width="7" style="79" customWidth="1"/>
    <col min="15104" max="15104" width="11.23046875" style="79"/>
    <col min="15105" max="15105" width="9.84375" style="79" customWidth="1"/>
    <col min="15106" max="15354" width="11.23046875" style="79"/>
    <col min="15355" max="15355" width="8.69140625" style="79" customWidth="1"/>
    <col min="15356" max="15356" width="33.69140625" style="79" customWidth="1"/>
    <col min="15357" max="15357" width="11.23046875" style="79" customWidth="1"/>
    <col min="15358" max="15358" width="13.23046875" style="79" customWidth="1"/>
    <col min="15359" max="15359" width="7" style="79" customWidth="1"/>
    <col min="15360" max="15360" width="11.23046875" style="79"/>
    <col min="15361" max="15361" width="9.84375" style="79" customWidth="1"/>
    <col min="15362" max="15610" width="11.23046875" style="79"/>
    <col min="15611" max="15611" width="8.69140625" style="79" customWidth="1"/>
    <col min="15612" max="15612" width="33.69140625" style="79" customWidth="1"/>
    <col min="15613" max="15613" width="11.23046875" style="79" customWidth="1"/>
    <col min="15614" max="15614" width="13.23046875" style="79" customWidth="1"/>
    <col min="15615" max="15615" width="7" style="79" customWidth="1"/>
    <col min="15616" max="15616" width="11.23046875" style="79"/>
    <col min="15617" max="15617" width="9.84375" style="79" customWidth="1"/>
    <col min="15618" max="15866" width="11.23046875" style="79"/>
    <col min="15867" max="15867" width="8.69140625" style="79" customWidth="1"/>
    <col min="15868" max="15868" width="33.69140625" style="79" customWidth="1"/>
    <col min="15869" max="15869" width="11.23046875" style="79" customWidth="1"/>
    <col min="15870" max="15870" width="13.23046875" style="79" customWidth="1"/>
    <col min="15871" max="15871" width="7" style="79" customWidth="1"/>
    <col min="15872" max="15872" width="11.23046875" style="79"/>
    <col min="15873" max="15873" width="9.84375" style="79" customWidth="1"/>
    <col min="15874" max="16122" width="11.23046875" style="79"/>
    <col min="16123" max="16123" width="8.69140625" style="79" customWidth="1"/>
    <col min="16124" max="16124" width="33.69140625" style="79" customWidth="1"/>
    <col min="16125" max="16125" width="11.23046875" style="79" customWidth="1"/>
    <col min="16126" max="16126" width="13.23046875" style="79" customWidth="1"/>
    <col min="16127" max="16127" width="7" style="79" customWidth="1"/>
    <col min="16128" max="16128" width="11.23046875" style="79"/>
    <col min="16129" max="16129" width="9.84375" style="79" customWidth="1"/>
    <col min="16130" max="16384" width="11.23046875" style="79"/>
  </cols>
  <sheetData>
    <row r="1" spans="1:8" x14ac:dyDescent="0.35">
      <c r="A1" s="20" t="s">
        <v>37</v>
      </c>
      <c r="B1" s="20" t="s">
        <v>38</v>
      </c>
      <c r="C1" s="20" t="s">
        <v>48</v>
      </c>
      <c r="D1" s="21" t="s">
        <v>47</v>
      </c>
      <c r="E1" s="22" t="s">
        <v>57</v>
      </c>
      <c r="F1" s="20" t="s">
        <v>78</v>
      </c>
      <c r="G1" s="155" t="s">
        <v>153</v>
      </c>
      <c r="H1" s="172"/>
    </row>
    <row r="2" spans="1:8" x14ac:dyDescent="0.35">
      <c r="A2" s="23">
        <v>660010</v>
      </c>
      <c r="B2" s="24" t="s">
        <v>20</v>
      </c>
      <c r="C2" s="24" t="s">
        <v>49</v>
      </c>
      <c r="D2" s="44">
        <v>6604.3</v>
      </c>
      <c r="E2" s="25">
        <v>1</v>
      </c>
      <c r="F2" s="167"/>
      <c r="G2" s="156"/>
      <c r="H2" s="157"/>
    </row>
    <row r="3" spans="1:8" x14ac:dyDescent="0.35">
      <c r="A3" s="9">
        <v>660310</v>
      </c>
      <c r="B3" s="168" t="s">
        <v>21</v>
      </c>
      <c r="C3" s="168" t="s">
        <v>50</v>
      </c>
      <c r="D3" s="45">
        <f>$D$2*E3</f>
        <v>6604.3</v>
      </c>
      <c r="E3" s="27">
        <v>1</v>
      </c>
      <c r="F3" s="168"/>
      <c r="H3" s="157"/>
    </row>
    <row r="4" spans="1:8" x14ac:dyDescent="0.35">
      <c r="A4" s="28"/>
      <c r="B4" s="137"/>
      <c r="C4" s="174" t="s">
        <v>51</v>
      </c>
      <c r="D4" s="46">
        <f>$D$2*E4</f>
        <v>5778.7624999999998</v>
      </c>
      <c r="E4" s="110">
        <f>7/8</f>
        <v>0.875</v>
      </c>
      <c r="F4" s="162"/>
      <c r="G4" s="158" t="s">
        <v>117</v>
      </c>
    </row>
    <row r="5" spans="1:8" x14ac:dyDescent="0.35">
      <c r="A5" s="28"/>
      <c r="B5" s="137"/>
      <c r="C5" s="174" t="s">
        <v>52</v>
      </c>
      <c r="D5" s="46">
        <f t="shared" ref="D5:D8" si="0">$D$2*E5</f>
        <v>4953.2250000000004</v>
      </c>
      <c r="E5" s="110">
        <v>0.75</v>
      </c>
      <c r="F5" s="162"/>
    </row>
    <row r="6" spans="1:8" x14ac:dyDescent="0.35">
      <c r="A6" s="28"/>
      <c r="B6" s="137"/>
      <c r="C6" s="174" t="s">
        <v>53</v>
      </c>
      <c r="D6" s="46">
        <f t="shared" si="0"/>
        <v>4127.6875</v>
      </c>
      <c r="E6" s="110">
        <v>0.625</v>
      </c>
      <c r="F6" s="162"/>
      <c r="G6" s="159" t="s">
        <v>226</v>
      </c>
    </row>
    <row r="7" spans="1:8" x14ac:dyDescent="0.35">
      <c r="A7" s="28"/>
      <c r="B7" s="137"/>
      <c r="C7" s="174" t="s">
        <v>54</v>
      </c>
      <c r="D7" s="46">
        <f t="shared" si="0"/>
        <v>3302.15</v>
      </c>
      <c r="E7" s="110">
        <v>0.5</v>
      </c>
      <c r="F7" s="162"/>
      <c r="G7" s="159"/>
    </row>
    <row r="8" spans="1:8" x14ac:dyDescent="0.35">
      <c r="A8" s="28"/>
      <c r="B8" s="137"/>
      <c r="C8" s="174" t="s">
        <v>55</v>
      </c>
      <c r="D8" s="46">
        <f t="shared" si="0"/>
        <v>2476.6125000000002</v>
      </c>
      <c r="E8" s="110">
        <v>0.375</v>
      </c>
      <c r="F8" s="162"/>
      <c r="G8" s="159"/>
    </row>
    <row r="9" spans="1:8" x14ac:dyDescent="0.35">
      <c r="A9" s="31"/>
      <c r="B9" s="32"/>
      <c r="C9" s="175" t="s">
        <v>56</v>
      </c>
      <c r="D9" s="50">
        <f>$D$2*E9</f>
        <v>1651.075</v>
      </c>
      <c r="E9" s="111">
        <v>0.25</v>
      </c>
      <c r="F9" s="164"/>
      <c r="G9" s="159"/>
    </row>
    <row r="10" spans="1:8" x14ac:dyDescent="0.35">
      <c r="A10" s="28">
        <v>660210</v>
      </c>
      <c r="B10" s="137" t="s">
        <v>22</v>
      </c>
      <c r="C10" s="74" t="s">
        <v>125</v>
      </c>
      <c r="D10" s="46">
        <v>5808.2</v>
      </c>
      <c r="E10" s="34">
        <v>1</v>
      </c>
      <c r="F10" s="162"/>
      <c r="G10" s="159"/>
    </row>
    <row r="11" spans="1:8" x14ac:dyDescent="0.35">
      <c r="A11" s="11">
        <v>661210</v>
      </c>
      <c r="B11" s="35" t="s">
        <v>23</v>
      </c>
      <c r="C11" s="35" t="s">
        <v>126</v>
      </c>
      <c r="D11" s="46">
        <v>6285.8</v>
      </c>
      <c r="E11" s="33">
        <v>1</v>
      </c>
      <c r="F11" s="169"/>
    </row>
    <row r="12" spans="1:8" x14ac:dyDescent="0.35">
      <c r="A12" s="36">
        <v>660420</v>
      </c>
      <c r="B12" s="170" t="s">
        <v>25</v>
      </c>
      <c r="C12" s="37" t="s">
        <v>69</v>
      </c>
      <c r="D12" s="49">
        <v>4932.8999999999996</v>
      </c>
      <c r="E12" s="27">
        <v>1</v>
      </c>
      <c r="F12" s="170"/>
    </row>
    <row r="13" spans="1:8" x14ac:dyDescent="0.35">
      <c r="A13" s="31">
        <v>660410</v>
      </c>
      <c r="B13" s="164" t="s">
        <v>24</v>
      </c>
      <c r="C13" s="32" t="s">
        <v>69</v>
      </c>
      <c r="D13" s="50">
        <f>D12</f>
        <v>4932.8999999999996</v>
      </c>
      <c r="E13" s="38">
        <v>1</v>
      </c>
      <c r="F13" s="164"/>
    </row>
    <row r="14" spans="1:8" x14ac:dyDescent="0.35">
      <c r="A14" s="28">
        <v>660510</v>
      </c>
      <c r="B14" s="137" t="s">
        <v>26</v>
      </c>
      <c r="C14" s="137" t="s">
        <v>68</v>
      </c>
      <c r="D14" s="48">
        <v>3714.8</v>
      </c>
      <c r="E14" s="34">
        <v>1</v>
      </c>
      <c r="F14" s="162" t="s">
        <v>118</v>
      </c>
    </row>
    <row r="15" spans="1:8" x14ac:dyDescent="0.35">
      <c r="A15" s="10">
        <v>660710</v>
      </c>
      <c r="B15" s="29" t="s">
        <v>27</v>
      </c>
      <c r="C15" s="29" t="s">
        <v>68</v>
      </c>
      <c r="D15" s="48">
        <f>+D14</f>
        <v>3714.8</v>
      </c>
      <c r="E15" s="34">
        <v>1</v>
      </c>
      <c r="F15" s="162" t="s">
        <v>118</v>
      </c>
    </row>
    <row r="16" spans="1:8" x14ac:dyDescent="0.35">
      <c r="A16" s="10">
        <v>661010</v>
      </c>
      <c r="B16" s="29" t="s">
        <v>28</v>
      </c>
      <c r="C16" s="29" t="s">
        <v>68</v>
      </c>
      <c r="D16" s="48">
        <f>+D15</f>
        <v>3714.8</v>
      </c>
      <c r="E16" s="30">
        <v>1</v>
      </c>
      <c r="F16" s="171"/>
    </row>
    <row r="17" spans="1:10" x14ac:dyDescent="0.35">
      <c r="A17" s="10">
        <v>660810</v>
      </c>
      <c r="B17" s="29" t="s">
        <v>29</v>
      </c>
      <c r="C17" s="29" t="s">
        <v>68</v>
      </c>
      <c r="D17" s="48">
        <f>+D16</f>
        <v>3714.8</v>
      </c>
      <c r="E17" s="30">
        <v>1</v>
      </c>
      <c r="F17" s="171"/>
    </row>
    <row r="18" spans="1:10" x14ac:dyDescent="0.35">
      <c r="A18" s="31">
        <v>661110</v>
      </c>
      <c r="B18" s="32" t="s">
        <v>30</v>
      </c>
      <c r="C18" s="32" t="s">
        <v>68</v>
      </c>
      <c r="D18" s="50">
        <f>+D17</f>
        <v>3714.8</v>
      </c>
      <c r="E18" s="33">
        <v>1</v>
      </c>
      <c r="F18" s="164"/>
    </row>
    <row r="19" spans="1:10" ht="25.75" x14ac:dyDescent="0.35">
      <c r="A19" s="152">
        <v>664610</v>
      </c>
      <c r="B19" s="179" t="s">
        <v>157</v>
      </c>
      <c r="C19" s="153" t="s">
        <v>81</v>
      </c>
      <c r="D19" s="177">
        <f>(187.59*1.038)/4/6*7</f>
        <v>56.792872500000009</v>
      </c>
      <c r="E19" s="154" t="s">
        <v>141</v>
      </c>
      <c r="F19" s="167" t="s">
        <v>143</v>
      </c>
      <c r="G19" s="180" t="s">
        <v>158</v>
      </c>
      <c r="J19" s="181" t="s">
        <v>220</v>
      </c>
    </row>
    <row r="20" spans="1:10" x14ac:dyDescent="0.35">
      <c r="A20" s="138">
        <v>664710</v>
      </c>
      <c r="B20" s="178" t="s">
        <v>31</v>
      </c>
      <c r="C20" s="137" t="s">
        <v>138</v>
      </c>
      <c r="D20" s="77">
        <f>(1349.6*2)/40</f>
        <v>67.47999999999999</v>
      </c>
      <c r="E20" s="146" t="s">
        <v>141</v>
      </c>
      <c r="F20" s="233" t="s">
        <v>142</v>
      </c>
      <c r="G20" s="155" t="s">
        <v>225</v>
      </c>
      <c r="J20" s="79" t="s">
        <v>207</v>
      </c>
    </row>
    <row r="21" spans="1:10" x14ac:dyDescent="0.35">
      <c r="A21" s="138"/>
      <c r="B21" s="140" t="s">
        <v>140</v>
      </c>
      <c r="C21" s="141" t="s">
        <v>149</v>
      </c>
      <c r="D21" s="142">
        <f>+D20*10</f>
        <v>674.8</v>
      </c>
      <c r="E21" s="146"/>
      <c r="F21" s="233"/>
    </row>
    <row r="22" spans="1:10" x14ac:dyDescent="0.35">
      <c r="A22" s="138"/>
      <c r="B22" s="140"/>
      <c r="C22" s="141" t="s">
        <v>148</v>
      </c>
      <c r="D22" s="142">
        <f>+D20*20</f>
        <v>1349.6</v>
      </c>
      <c r="E22" s="146"/>
      <c r="F22" s="233"/>
    </row>
    <row r="23" spans="1:10" x14ac:dyDescent="0.35">
      <c r="A23" s="138"/>
      <c r="B23" s="140"/>
      <c r="C23" s="141" t="s">
        <v>150</v>
      </c>
      <c r="D23" s="142">
        <f>+D20*16</f>
        <v>1079.6799999999998</v>
      </c>
      <c r="E23" s="146"/>
      <c r="F23" s="233"/>
    </row>
    <row r="24" spans="1:10" x14ac:dyDescent="0.35">
      <c r="A24" s="138"/>
      <c r="B24" s="140"/>
      <c r="C24" s="141" t="s">
        <v>151</v>
      </c>
      <c r="D24" s="142">
        <f>+D20*14</f>
        <v>944.7199999999998</v>
      </c>
      <c r="E24" s="146"/>
      <c r="F24" s="233"/>
    </row>
    <row r="25" spans="1:10" x14ac:dyDescent="0.35">
      <c r="A25" s="139"/>
      <c r="B25" s="143"/>
      <c r="C25" s="144" t="s">
        <v>152</v>
      </c>
      <c r="D25" s="145">
        <f>+D20*14</f>
        <v>944.7199999999998</v>
      </c>
      <c r="E25" s="147"/>
      <c r="F25" s="234"/>
    </row>
    <row r="26" spans="1:10" ht="12.75" customHeight="1" x14ac:dyDescent="0.35">
      <c r="A26" s="161">
        <v>673010</v>
      </c>
      <c r="B26" s="162" t="s">
        <v>32</v>
      </c>
      <c r="C26" s="74" t="s">
        <v>58</v>
      </c>
      <c r="D26" s="48">
        <f>1928.99*1.038/7</f>
        <v>286.04165999999998</v>
      </c>
      <c r="E26" s="148" t="s">
        <v>141</v>
      </c>
      <c r="F26" s="251" t="s">
        <v>144</v>
      </c>
      <c r="G26" s="155" t="s">
        <v>84</v>
      </c>
      <c r="J26" s="79" t="s">
        <v>219</v>
      </c>
    </row>
    <row r="27" spans="1:10" x14ac:dyDescent="0.35">
      <c r="A27" s="161"/>
      <c r="B27" s="162"/>
      <c r="C27" s="29" t="s">
        <v>59</v>
      </c>
      <c r="D27" s="48">
        <f>1636.25*1.038/7</f>
        <v>242.63249999999999</v>
      </c>
      <c r="E27" s="149" t="s">
        <v>141</v>
      </c>
      <c r="F27" s="233"/>
      <c r="G27" s="155" t="s">
        <v>85</v>
      </c>
    </row>
    <row r="28" spans="1:10" x14ac:dyDescent="0.35">
      <c r="A28" s="161"/>
      <c r="B28" s="162"/>
      <c r="C28" s="29" t="s">
        <v>60</v>
      </c>
      <c r="D28" s="48">
        <f>1040.34*1.038/7</f>
        <v>154.26756</v>
      </c>
      <c r="E28" s="149" t="s">
        <v>141</v>
      </c>
      <c r="F28" s="233"/>
      <c r="G28" s="155" t="s">
        <v>86</v>
      </c>
      <c r="H28" s="157"/>
    </row>
    <row r="29" spans="1:10" x14ac:dyDescent="0.35">
      <c r="A29" s="161"/>
      <c r="B29" s="162"/>
      <c r="C29" s="29" t="s">
        <v>61</v>
      </c>
      <c r="D29" s="48">
        <f>964.46*1.038/7</f>
        <v>143.01564000000002</v>
      </c>
      <c r="E29" s="149" t="s">
        <v>141</v>
      </c>
      <c r="F29" s="233"/>
      <c r="G29" s="155" t="s">
        <v>87</v>
      </c>
    </row>
    <row r="30" spans="1:10" x14ac:dyDescent="0.35">
      <c r="A30" s="161"/>
      <c r="B30" s="162"/>
      <c r="C30" s="29" t="s">
        <v>77</v>
      </c>
      <c r="D30" s="48">
        <f>D29</f>
        <v>143.01564000000002</v>
      </c>
      <c r="E30" s="149" t="s">
        <v>141</v>
      </c>
      <c r="F30" s="252"/>
      <c r="G30" s="182" t="s">
        <v>137</v>
      </c>
    </row>
    <row r="31" spans="1:10" x14ac:dyDescent="0.35">
      <c r="A31" s="161"/>
      <c r="B31" s="162"/>
      <c r="C31" s="29" t="s">
        <v>154</v>
      </c>
      <c r="D31" s="48">
        <f>415.14*1.038/7</f>
        <v>61.559331428571433</v>
      </c>
      <c r="E31" s="149" t="s">
        <v>141</v>
      </c>
      <c r="F31" s="241" t="s">
        <v>145</v>
      </c>
      <c r="G31" s="160"/>
    </row>
    <row r="32" spans="1:10" x14ac:dyDescent="0.35">
      <c r="A32" s="161"/>
      <c r="B32" s="162"/>
      <c r="C32" s="29" t="s">
        <v>155</v>
      </c>
      <c r="D32" s="48">
        <f>577.25*1.038/7</f>
        <v>85.597928571428582</v>
      </c>
      <c r="E32" s="149" t="s">
        <v>141</v>
      </c>
      <c r="F32" s="242"/>
    </row>
    <row r="33" spans="1:10" x14ac:dyDescent="0.35">
      <c r="A33" s="163"/>
      <c r="B33" s="164"/>
      <c r="C33" s="35" t="s">
        <v>156</v>
      </c>
      <c r="D33" s="77">
        <f>710.04*1.038/7</f>
        <v>105.28878857142857</v>
      </c>
      <c r="E33" s="150" t="s">
        <v>141</v>
      </c>
      <c r="F33" s="243"/>
    </row>
    <row r="34" spans="1:10" x14ac:dyDescent="0.35">
      <c r="A34" s="161">
        <v>673020</v>
      </c>
      <c r="B34" s="162" t="s">
        <v>97</v>
      </c>
      <c r="C34" s="40" t="s">
        <v>98</v>
      </c>
      <c r="D34" s="49">
        <f>1929*1.038/6</f>
        <v>333.71700000000004</v>
      </c>
      <c r="E34" s="151" t="s">
        <v>141</v>
      </c>
      <c r="F34" s="251" t="s">
        <v>147</v>
      </c>
      <c r="G34" s="182" t="s">
        <v>127</v>
      </c>
      <c r="J34" s="79" t="s">
        <v>206</v>
      </c>
    </row>
    <row r="35" spans="1:10" x14ac:dyDescent="0.35">
      <c r="A35" s="161"/>
      <c r="B35" s="162"/>
      <c r="C35" s="40" t="s">
        <v>99</v>
      </c>
      <c r="D35" s="48">
        <f>1636.2*1.038/6</f>
        <v>283.06260000000003</v>
      </c>
      <c r="E35" s="151" t="s">
        <v>141</v>
      </c>
      <c r="F35" s="233"/>
    </row>
    <row r="36" spans="1:10" x14ac:dyDescent="0.35">
      <c r="A36" s="161"/>
      <c r="B36" s="162"/>
      <c r="C36" s="40" t="s">
        <v>100</v>
      </c>
      <c r="D36" s="48">
        <f>1040.34*1.038/6</f>
        <v>179.97882000000001</v>
      </c>
      <c r="E36" s="151" t="s">
        <v>141</v>
      </c>
      <c r="F36" s="233"/>
    </row>
    <row r="37" spans="1:10" x14ac:dyDescent="0.35">
      <c r="A37" s="163"/>
      <c r="B37" s="162"/>
      <c r="C37" s="35" t="s">
        <v>101</v>
      </c>
      <c r="D37" s="47">
        <f>964.5*1.038/6</f>
        <v>166.85850000000002</v>
      </c>
      <c r="E37" s="150" t="s">
        <v>141</v>
      </c>
      <c r="F37" s="234"/>
    </row>
    <row r="38" spans="1:10" ht="12.75" customHeight="1" x14ac:dyDescent="0.35">
      <c r="A38" s="39">
        <v>662010</v>
      </c>
      <c r="B38" s="248" t="s">
        <v>70</v>
      </c>
      <c r="C38" s="74" t="s">
        <v>39</v>
      </c>
      <c r="D38" s="48">
        <v>2281.8000000000002</v>
      </c>
      <c r="E38" s="34">
        <v>1</v>
      </c>
      <c r="F38" s="248"/>
      <c r="G38" s="159"/>
    </row>
    <row r="39" spans="1:10" x14ac:dyDescent="0.35">
      <c r="A39" s="28">
        <v>662020</v>
      </c>
      <c r="B39" s="249"/>
      <c r="C39" s="40" t="s">
        <v>40</v>
      </c>
      <c r="D39" s="51">
        <v>2420.9</v>
      </c>
      <c r="E39" s="30">
        <v>1</v>
      </c>
      <c r="F39" s="249"/>
    </row>
    <row r="40" spans="1:10" x14ac:dyDescent="0.35">
      <c r="A40" s="28"/>
      <c r="B40" s="249"/>
      <c r="C40" s="40" t="s">
        <v>41</v>
      </c>
      <c r="D40" s="51">
        <v>2560.1</v>
      </c>
      <c r="E40" s="30">
        <v>1</v>
      </c>
      <c r="F40" s="249"/>
      <c r="G40" s="155" t="s">
        <v>224</v>
      </c>
    </row>
    <row r="41" spans="1:10" x14ac:dyDescent="0.35">
      <c r="A41" s="28"/>
      <c r="B41" s="249"/>
      <c r="C41" s="40" t="s">
        <v>42</v>
      </c>
      <c r="D41" s="51">
        <v>2699.2</v>
      </c>
      <c r="E41" s="30">
        <v>1</v>
      </c>
      <c r="F41" s="249"/>
    </row>
    <row r="42" spans="1:10" x14ac:dyDescent="0.35">
      <c r="A42" s="28"/>
      <c r="B42" s="249"/>
      <c r="C42" s="40" t="s">
        <v>43</v>
      </c>
      <c r="D42" s="51">
        <v>3071.3</v>
      </c>
      <c r="E42" s="30">
        <v>1</v>
      </c>
      <c r="F42" s="249"/>
    </row>
    <row r="43" spans="1:10" x14ac:dyDescent="0.35">
      <c r="A43" s="28"/>
      <c r="B43" s="249"/>
      <c r="C43" s="40" t="s">
        <v>44</v>
      </c>
      <c r="D43" s="51">
        <v>3390.3</v>
      </c>
      <c r="E43" s="30">
        <v>1</v>
      </c>
      <c r="F43" s="249"/>
    </row>
    <row r="44" spans="1:10" x14ac:dyDescent="0.35">
      <c r="A44" s="28"/>
      <c r="B44" s="249"/>
      <c r="C44" s="40" t="s">
        <v>45</v>
      </c>
      <c r="D44" s="51">
        <v>3714.8</v>
      </c>
      <c r="E44" s="30">
        <v>1</v>
      </c>
      <c r="F44" s="249"/>
    </row>
    <row r="45" spans="1:10" x14ac:dyDescent="0.35">
      <c r="A45" s="31"/>
      <c r="B45" s="250"/>
      <c r="C45" s="35" t="s">
        <v>46</v>
      </c>
      <c r="D45" s="47">
        <v>4039</v>
      </c>
      <c r="E45" s="33">
        <v>1</v>
      </c>
      <c r="F45" s="250"/>
    </row>
    <row r="47" spans="1:10" hidden="1" outlineLevel="1" x14ac:dyDescent="0.35">
      <c r="C47" s="70" t="s">
        <v>102</v>
      </c>
      <c r="D47" s="253" t="s">
        <v>103</v>
      </c>
      <c r="E47" s="254"/>
      <c r="F47" s="255"/>
    </row>
    <row r="48" spans="1:10" hidden="1" outlineLevel="1" x14ac:dyDescent="0.35">
      <c r="C48" s="69" t="s">
        <v>81</v>
      </c>
      <c r="D48" s="244" t="s">
        <v>113</v>
      </c>
      <c r="E48" s="245"/>
      <c r="F48" s="246"/>
    </row>
    <row r="49" spans="3:6" hidden="1" outlineLevel="1" x14ac:dyDescent="0.35">
      <c r="C49" s="69" t="s">
        <v>79</v>
      </c>
      <c r="D49" s="244" t="s">
        <v>80</v>
      </c>
      <c r="E49" s="245"/>
      <c r="F49" s="246"/>
    </row>
    <row r="50" spans="3:6" hidden="1" outlineLevel="1" x14ac:dyDescent="0.35">
      <c r="C50" s="69" t="s">
        <v>82</v>
      </c>
      <c r="D50" s="244" t="s">
        <v>83</v>
      </c>
      <c r="E50" s="245"/>
      <c r="F50" s="246"/>
    </row>
    <row r="51" spans="3:6" hidden="1" outlineLevel="1" x14ac:dyDescent="0.35">
      <c r="C51" s="69" t="s">
        <v>88</v>
      </c>
      <c r="D51" s="244" t="s">
        <v>93</v>
      </c>
      <c r="E51" s="245"/>
      <c r="F51" s="246"/>
    </row>
    <row r="52" spans="3:6" hidden="1" outlineLevel="1" x14ac:dyDescent="0.35">
      <c r="C52" s="69" t="s">
        <v>89</v>
      </c>
      <c r="D52" s="244" t="s">
        <v>94</v>
      </c>
      <c r="E52" s="245"/>
      <c r="F52" s="246"/>
    </row>
    <row r="53" spans="3:6" hidden="1" outlineLevel="1" x14ac:dyDescent="0.35">
      <c r="C53" s="69" t="s">
        <v>90</v>
      </c>
      <c r="D53" s="244" t="s">
        <v>95</v>
      </c>
      <c r="E53" s="245"/>
      <c r="F53" s="246"/>
    </row>
    <row r="54" spans="3:6" hidden="1" outlineLevel="1" x14ac:dyDescent="0.35">
      <c r="C54" s="69" t="s">
        <v>91</v>
      </c>
      <c r="D54" s="244" t="s">
        <v>96</v>
      </c>
      <c r="E54" s="245"/>
      <c r="F54" s="246"/>
    </row>
    <row r="55" spans="3:6" hidden="1" outlineLevel="1" x14ac:dyDescent="0.35">
      <c r="C55" s="71" t="s">
        <v>92</v>
      </c>
      <c r="D55" s="247" t="s">
        <v>114</v>
      </c>
      <c r="E55" s="247"/>
      <c r="F55" s="247"/>
    </row>
    <row r="56" spans="3:6" hidden="1" outlineLevel="1" x14ac:dyDescent="0.35">
      <c r="C56" s="72"/>
      <c r="D56" s="247"/>
      <c r="E56" s="247"/>
      <c r="F56" s="247"/>
    </row>
    <row r="57" spans="3:6" hidden="1" outlineLevel="1" x14ac:dyDescent="0.35">
      <c r="C57" s="72"/>
      <c r="D57" s="247"/>
      <c r="E57" s="247"/>
      <c r="F57" s="247"/>
    </row>
    <row r="58" spans="3:6" hidden="1" outlineLevel="1" x14ac:dyDescent="0.35">
      <c r="C58" s="72"/>
      <c r="D58" s="247"/>
      <c r="E58" s="247"/>
      <c r="F58" s="247"/>
    </row>
    <row r="59" spans="3:6" hidden="1" outlineLevel="1" x14ac:dyDescent="0.35">
      <c r="C59" s="73"/>
      <c r="D59" s="247"/>
      <c r="E59" s="247"/>
      <c r="F59" s="247"/>
    </row>
    <row r="60" spans="3:6" hidden="1" outlineLevel="1" x14ac:dyDescent="0.35">
      <c r="C60" s="69" t="s">
        <v>106</v>
      </c>
      <c r="D60" s="244" t="s">
        <v>109</v>
      </c>
      <c r="E60" s="245"/>
      <c r="F60" s="246"/>
    </row>
    <row r="61" spans="3:6" hidden="1" outlineLevel="1" x14ac:dyDescent="0.35">
      <c r="C61" s="69" t="s">
        <v>107</v>
      </c>
      <c r="D61" s="244" t="s">
        <v>110</v>
      </c>
      <c r="E61" s="245"/>
      <c r="F61" s="246"/>
    </row>
    <row r="62" spans="3:6" hidden="1" outlineLevel="1" x14ac:dyDescent="0.35">
      <c r="C62" s="69" t="s">
        <v>108</v>
      </c>
      <c r="D62" s="244" t="s">
        <v>111</v>
      </c>
      <c r="E62" s="245"/>
      <c r="F62" s="246"/>
    </row>
    <row r="63" spans="3:6" hidden="1" outlineLevel="1" x14ac:dyDescent="0.35">
      <c r="C63" s="71" t="s">
        <v>104</v>
      </c>
      <c r="D63" s="235" t="s">
        <v>105</v>
      </c>
      <c r="E63" s="236"/>
      <c r="F63" s="237"/>
    </row>
    <row r="64" spans="3:6" hidden="1" outlineLevel="1" x14ac:dyDescent="0.35">
      <c r="C64" s="73"/>
      <c r="D64" s="238"/>
      <c r="E64" s="239"/>
      <c r="F64" s="240"/>
    </row>
    <row r="65" spans="2:2" collapsed="1" x14ac:dyDescent="0.35"/>
    <row r="66" spans="2:2" x14ac:dyDescent="0.35">
      <c r="B66" s="79"/>
    </row>
  </sheetData>
  <sortState xmlns:xlrd2="http://schemas.microsoft.com/office/spreadsheetml/2017/richdata2" ref="C26:E26">
    <sortCondition ref="C25"/>
  </sortState>
  <mergeCells count="19">
    <mergeCell ref="B38:B45"/>
    <mergeCell ref="F38:F45"/>
    <mergeCell ref="F26:F30"/>
    <mergeCell ref="F34:F37"/>
    <mergeCell ref="D47:F47"/>
    <mergeCell ref="F20:F25"/>
    <mergeCell ref="D63:F64"/>
    <mergeCell ref="F31:F33"/>
    <mergeCell ref="D60:F60"/>
    <mergeCell ref="D61:F61"/>
    <mergeCell ref="D62:F62"/>
    <mergeCell ref="D55:F59"/>
    <mergeCell ref="D48:F48"/>
    <mergeCell ref="D49:F49"/>
    <mergeCell ref="D50:F50"/>
    <mergeCell ref="D51:F51"/>
    <mergeCell ref="D52:F52"/>
    <mergeCell ref="D53:F53"/>
    <mergeCell ref="D54:F54"/>
  </mergeCells>
  <hyperlinks>
    <hyperlink ref="G34" r:id="rId1" xr:uid="{00000000-0004-0000-0100-000004000000}"/>
    <hyperlink ref="G30" r:id="rId2" xr:uid="{00000000-0004-0000-0100-000005000000}"/>
  </hyperlinks>
  <printOptions horizontalCentered="1" headings="1"/>
  <pageMargins left="0.39370078740157483" right="0.39370078740157483" top="0.39370078740157483" bottom="0.39370078740157483" header="0.31496062992125984" footer="0.31496062992125984"/>
  <pageSetup paperSize="9" orientation="portrait" r:id="rId3"/>
  <customProperties>
    <customPr name="_pios_id" r:id="rId4"/>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Kostenplan</vt:lpstr>
      <vt:lpstr>KV-Gehälter pro PersGrp</vt:lpstr>
      <vt:lpstr>Kostenplan!Druckbereich</vt:lpstr>
      <vt:lpstr>'KV-Gehälter pro PersGrp'!Druckbereich</vt:lpstr>
    </vt:vector>
  </TitlesOfParts>
  <Company>ZID/UNIVIE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Ehmayer</dc:creator>
  <cp:lastModifiedBy>Barbara Riefler</cp:lastModifiedBy>
  <cp:lastPrinted>2023-12-20T08:00:27Z</cp:lastPrinted>
  <dcterms:created xsi:type="dcterms:W3CDTF">2006-03-23T10:47:10Z</dcterms:created>
  <dcterms:modified xsi:type="dcterms:W3CDTF">2025-06-24T07:33:32Z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Kostenplanung mit Personalkosten KV 2018 (mehrjährig).xlsx</vt:lpwstr>
  </property>
</Properties>
</file>